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el\Anaconda3\Serieutvalget samlemappe\"/>
    </mc:Choice>
  </mc:AlternateContent>
  <xr:revisionPtr revIDLastSave="0" documentId="13_ncr:1_{6A5CB3F1-695A-43C0-8471-285A8272E291}" xr6:coauthVersionLast="47" xr6:coauthVersionMax="47" xr10:uidLastSave="{00000000-0000-0000-0000-000000000000}"/>
  <bookViews>
    <workbookView xWindow="1100" yWindow="1100" windowWidth="9480" windowHeight="8240" xr2:uid="{00000000-000D-0000-FFFF-FFFF00000000}"/>
  </bookViews>
  <sheets>
    <sheet name="menn" sheetId="1" r:id="rId1"/>
    <sheet name="kvi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" l="1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E31" i="1"/>
  <c r="F15" i="2" l="1"/>
  <c r="F15" i="1"/>
  <c r="F19" i="2"/>
  <c r="F21" i="1" l="1"/>
  <c r="F20" i="2"/>
  <c r="BB5" i="2" s="1"/>
  <c r="BB6" i="2" s="1"/>
  <c r="F37" i="2"/>
  <c r="DB5" i="2" s="1"/>
  <c r="F36" i="2"/>
  <c r="CX5" i="2" s="1"/>
  <c r="CX6" i="2" s="1"/>
  <c r="F34" i="2"/>
  <c r="CT5" i="2" s="1"/>
  <c r="CT6" i="2" s="1"/>
  <c r="F33" i="2"/>
  <c r="CP5" i="2" s="1"/>
  <c r="F32" i="2"/>
  <c r="CL5" i="2" s="1"/>
  <c r="F31" i="2"/>
  <c r="CH5" i="2" s="1"/>
  <c r="CH6" i="2" s="1"/>
  <c r="F29" i="2"/>
  <c r="CD5" i="2" s="1"/>
  <c r="CD6" i="2" s="1"/>
  <c r="F28" i="2"/>
  <c r="BZ5" i="2" s="1"/>
  <c r="F27" i="2"/>
  <c r="BV5" i="2" s="1"/>
  <c r="F26" i="2"/>
  <c r="BR5" i="2" s="1"/>
  <c r="BR6" i="2" s="1"/>
  <c r="F25" i="2"/>
  <c r="BN5" i="2" s="1"/>
  <c r="BN6" i="2" s="1"/>
  <c r="F24" i="2"/>
  <c r="BJ5" i="2" s="1"/>
  <c r="F20" i="1"/>
  <c r="F21" i="2"/>
  <c r="BB12" i="2" s="1"/>
  <c r="F37" i="1"/>
  <c r="DB5" i="1" s="1"/>
  <c r="F36" i="1"/>
  <c r="CX5" i="1" s="1"/>
  <c r="F34" i="1"/>
  <c r="CT5" i="1" s="1"/>
  <c r="F33" i="1"/>
  <c r="CP5" i="1" s="1"/>
  <c r="F32" i="1"/>
  <c r="CL5" i="1" s="1"/>
  <c r="F31" i="1"/>
  <c r="CH5" i="1" s="1"/>
  <c r="F29" i="1"/>
  <c r="CD5" i="1" s="1"/>
  <c r="F28" i="1"/>
  <c r="BZ5" i="1" s="1"/>
  <c r="F27" i="1"/>
  <c r="BV5" i="1" s="1"/>
  <c r="F26" i="1"/>
  <c r="BR5" i="1" s="1"/>
  <c r="F25" i="1"/>
  <c r="BN5" i="1" s="1"/>
  <c r="F24" i="1"/>
  <c r="BJ5" i="1" s="1"/>
  <c r="F22" i="1"/>
  <c r="BF5" i="1" s="1"/>
  <c r="CQ7" i="2"/>
  <c r="CQ8" i="2" s="1"/>
  <c r="CQ9" i="2" s="1"/>
  <c r="CQ10" i="2" s="1"/>
  <c r="CQ11" i="2" s="1"/>
  <c r="CQ12" i="2" s="1"/>
  <c r="CQ13" i="2" s="1"/>
  <c r="CQ14" i="2" s="1"/>
  <c r="CQ15" i="2" s="1"/>
  <c r="CQ16" i="2" s="1"/>
  <c r="CQ17" i="2" s="1"/>
  <c r="CQ18" i="2" s="1"/>
  <c r="CQ19" i="2" s="1"/>
  <c r="CQ20" i="2" s="1"/>
  <c r="CQ21" i="2" s="1"/>
  <c r="CQ22" i="2" s="1"/>
  <c r="CQ23" i="2" s="1"/>
  <c r="CQ24" i="2" s="1"/>
  <c r="CQ25" i="2" s="1"/>
  <c r="CQ26" i="2" s="1"/>
  <c r="CQ27" i="2" s="1"/>
  <c r="CQ28" i="2" s="1"/>
  <c r="CQ29" i="2" s="1"/>
  <c r="CQ30" i="2" s="1"/>
  <c r="CQ31" i="2" s="1"/>
  <c r="CQ32" i="2" s="1"/>
  <c r="CM7" i="2"/>
  <c r="CM8" i="2" s="1"/>
  <c r="CM9" i="2" s="1"/>
  <c r="CM10" i="2" s="1"/>
  <c r="CM11" i="2" s="1"/>
  <c r="CM12" i="2" s="1"/>
  <c r="CM13" i="2" s="1"/>
  <c r="CM14" i="2" s="1"/>
  <c r="CM15" i="2" s="1"/>
  <c r="CM16" i="2" s="1"/>
  <c r="CM17" i="2" s="1"/>
  <c r="CM18" i="2" s="1"/>
  <c r="CM19" i="2" s="1"/>
  <c r="CM20" i="2" s="1"/>
  <c r="CM21" i="2" s="1"/>
  <c r="CM22" i="2" s="1"/>
  <c r="CM23" i="2" s="1"/>
  <c r="CM24" i="2" s="1"/>
  <c r="CM25" i="2" s="1"/>
  <c r="CM26" i="2" s="1"/>
  <c r="CM27" i="2" s="1"/>
  <c r="CM28" i="2" s="1"/>
  <c r="CM29" i="2" s="1"/>
  <c r="CM30" i="2" s="1"/>
  <c r="CM31" i="2" s="1"/>
  <c r="CM32" i="2" s="1"/>
  <c r="CI7" i="2"/>
  <c r="CI8" i="2" s="1"/>
  <c r="CI9" i="2" s="1"/>
  <c r="CI10" i="2" s="1"/>
  <c r="CI11" i="2" s="1"/>
  <c r="CI12" i="2" s="1"/>
  <c r="CI13" i="2" s="1"/>
  <c r="CI14" i="2" s="1"/>
  <c r="CI15" i="2" s="1"/>
  <c r="CI16" i="2" s="1"/>
  <c r="CI17" i="2" s="1"/>
  <c r="CI18" i="2" s="1"/>
  <c r="CI19" i="2" s="1"/>
  <c r="CI20" i="2" s="1"/>
  <c r="CI21" i="2" s="1"/>
  <c r="CI22" i="2" s="1"/>
  <c r="CI23" i="2" s="1"/>
  <c r="CI24" i="2" s="1"/>
  <c r="CI25" i="2" s="1"/>
  <c r="CI26" i="2" s="1"/>
  <c r="CI27" i="2" s="1"/>
  <c r="CI28" i="2" s="1"/>
  <c r="CI29" i="2" s="1"/>
  <c r="CI30" i="2" s="1"/>
  <c r="CI31" i="2" s="1"/>
  <c r="CI32" i="2" s="1"/>
  <c r="CE7" i="2"/>
  <c r="CE8" i="2" s="1"/>
  <c r="CE9" i="2" s="1"/>
  <c r="CE10" i="2" s="1"/>
  <c r="CE11" i="2" s="1"/>
  <c r="CE12" i="2" s="1"/>
  <c r="CE13" i="2" s="1"/>
  <c r="CE14" i="2" s="1"/>
  <c r="CE15" i="2" s="1"/>
  <c r="CE16" i="2" s="1"/>
  <c r="CE17" i="2" s="1"/>
  <c r="CE18" i="2" s="1"/>
  <c r="CE19" i="2" s="1"/>
  <c r="CE20" i="2" s="1"/>
  <c r="CE21" i="2" s="1"/>
  <c r="CE22" i="2" s="1"/>
  <c r="CE23" i="2" s="1"/>
  <c r="CE24" i="2" s="1"/>
  <c r="CE25" i="2" s="1"/>
  <c r="CE26" i="2" s="1"/>
  <c r="CE27" i="2" s="1"/>
  <c r="CE28" i="2" s="1"/>
  <c r="CE29" i="2" s="1"/>
  <c r="CE30" i="2" s="1"/>
  <c r="CE31" i="2" s="1"/>
  <c r="CE32" i="2" s="1"/>
  <c r="CA7" i="2"/>
  <c r="CA8" i="2" s="1"/>
  <c r="CA9" i="2" s="1"/>
  <c r="CA10" i="2" s="1"/>
  <c r="CA11" i="2" s="1"/>
  <c r="CA12" i="2" s="1"/>
  <c r="CA13" i="2" s="1"/>
  <c r="CA14" i="2" s="1"/>
  <c r="CA15" i="2" s="1"/>
  <c r="CA16" i="2" s="1"/>
  <c r="CA17" i="2" s="1"/>
  <c r="CA18" i="2" s="1"/>
  <c r="CA19" i="2" s="1"/>
  <c r="CA20" i="2" s="1"/>
  <c r="CA21" i="2" s="1"/>
  <c r="CA22" i="2" s="1"/>
  <c r="CA23" i="2" s="1"/>
  <c r="CA24" i="2" s="1"/>
  <c r="CA25" i="2" s="1"/>
  <c r="CA26" i="2" s="1"/>
  <c r="CA27" i="2" s="1"/>
  <c r="CA28" i="2" s="1"/>
  <c r="CA29" i="2" s="1"/>
  <c r="CA30" i="2" s="1"/>
  <c r="CA31" i="2" s="1"/>
  <c r="CA32" i="2" s="1"/>
  <c r="BW7" i="2"/>
  <c r="BW8" i="2" s="1"/>
  <c r="BW9" i="2" s="1"/>
  <c r="BW10" i="2" s="1"/>
  <c r="BW11" i="2" s="1"/>
  <c r="BW12" i="2" s="1"/>
  <c r="BW13" i="2" s="1"/>
  <c r="BW14" i="2" s="1"/>
  <c r="BW15" i="2" s="1"/>
  <c r="BW16" i="2" s="1"/>
  <c r="BW17" i="2" s="1"/>
  <c r="BW18" i="2" s="1"/>
  <c r="BW19" i="2" s="1"/>
  <c r="BW20" i="2" s="1"/>
  <c r="BW21" i="2" s="1"/>
  <c r="BW22" i="2" s="1"/>
  <c r="BW23" i="2" s="1"/>
  <c r="BW24" i="2" s="1"/>
  <c r="BW25" i="2" s="1"/>
  <c r="BW26" i="2" s="1"/>
  <c r="BW27" i="2" s="1"/>
  <c r="BW28" i="2" s="1"/>
  <c r="BW29" i="2" s="1"/>
  <c r="BW30" i="2" s="1"/>
  <c r="BW31" i="2" s="1"/>
  <c r="BW32" i="2" s="1"/>
  <c r="BS7" i="2"/>
  <c r="BS8" i="2" s="1"/>
  <c r="BS9" i="2" s="1"/>
  <c r="BS10" i="2" s="1"/>
  <c r="BS11" i="2" s="1"/>
  <c r="BS12" i="2" s="1"/>
  <c r="BS13" i="2" s="1"/>
  <c r="BS14" i="2" s="1"/>
  <c r="BS15" i="2" s="1"/>
  <c r="BS16" i="2" s="1"/>
  <c r="BS17" i="2" s="1"/>
  <c r="BS18" i="2" s="1"/>
  <c r="BS19" i="2" s="1"/>
  <c r="BS20" i="2" s="1"/>
  <c r="BS21" i="2" s="1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O7" i="2"/>
  <c r="BO8" i="2" s="1"/>
  <c r="BO9" i="2" s="1"/>
  <c r="BO10" i="2" s="1"/>
  <c r="BO11" i="2" s="1"/>
  <c r="BO12" i="2" s="1"/>
  <c r="BO13" i="2" s="1"/>
  <c r="BO14" i="2" s="1"/>
  <c r="BO15" i="2" s="1"/>
  <c r="BO16" i="2" s="1"/>
  <c r="BO17" i="2" s="1"/>
  <c r="BO18" i="2" s="1"/>
  <c r="BO19" i="2" s="1"/>
  <c r="BO20" i="2" s="1"/>
  <c r="BO21" i="2" s="1"/>
  <c r="BO22" i="2" s="1"/>
  <c r="BO23" i="2" s="1"/>
  <c r="BO24" i="2" s="1"/>
  <c r="BO25" i="2" s="1"/>
  <c r="BO26" i="2" s="1"/>
  <c r="BO27" i="2" s="1"/>
  <c r="BO28" i="2" s="1"/>
  <c r="BO29" i="2" s="1"/>
  <c r="BO30" i="2" s="1"/>
  <c r="BO31" i="2" s="1"/>
  <c r="BO32" i="2" s="1"/>
  <c r="BK7" i="2"/>
  <c r="BK8" i="2" s="1"/>
  <c r="BK9" i="2" s="1"/>
  <c r="BK10" i="2" s="1"/>
  <c r="BK11" i="2" s="1"/>
  <c r="BK12" i="2" s="1"/>
  <c r="BK13" i="2" s="1"/>
  <c r="BK14" i="2" s="1"/>
  <c r="BK15" i="2" s="1"/>
  <c r="BK16" i="2" s="1"/>
  <c r="BK17" i="2" s="1"/>
  <c r="BK18" i="2" s="1"/>
  <c r="BK19" i="2" s="1"/>
  <c r="BK20" i="2" s="1"/>
  <c r="BK21" i="2" s="1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G7" i="2"/>
  <c r="BG8" i="2" s="1"/>
  <c r="BG9" i="2" s="1"/>
  <c r="BG10" i="2" s="1"/>
  <c r="BG11" i="2" s="1"/>
  <c r="BG12" i="2" s="1"/>
  <c r="BG13" i="2" s="1"/>
  <c r="BG14" i="2" s="1"/>
  <c r="BG15" i="2" s="1"/>
  <c r="BG16" i="2" s="1"/>
  <c r="BG17" i="2" s="1"/>
  <c r="BG18" i="2" s="1"/>
  <c r="BG19" i="2" s="1"/>
  <c r="BG20" i="2" s="1"/>
  <c r="BG21" i="2" s="1"/>
  <c r="BG22" i="2" s="1"/>
  <c r="BG23" i="2" s="1"/>
  <c r="BG24" i="2" s="1"/>
  <c r="BG25" i="2" s="1"/>
  <c r="BG26" i="2" s="1"/>
  <c r="BG27" i="2" s="1"/>
  <c r="BG28" i="2" s="1"/>
  <c r="BG29" i="2" s="1"/>
  <c r="BG30" i="2" s="1"/>
  <c r="BG31" i="2" s="1"/>
  <c r="BG32" i="2" s="1"/>
  <c r="BC7" i="2"/>
  <c r="BC8" i="2" s="1"/>
  <c r="BC9" i="2" s="1"/>
  <c r="BC10" i="2" s="1"/>
  <c r="BC11" i="2" s="1"/>
  <c r="BC12" i="2" s="1"/>
  <c r="BC13" i="2" s="1"/>
  <c r="BC14" i="2" s="1"/>
  <c r="BC15" i="2" s="1"/>
  <c r="BC16" i="2" s="1"/>
  <c r="BC17" i="2" s="1"/>
  <c r="BC18" i="2" s="1"/>
  <c r="BC19" i="2" s="1"/>
  <c r="BC20" i="2" s="1"/>
  <c r="BC21" i="2" s="1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AY7" i="2"/>
  <c r="AY8" i="2" s="1"/>
  <c r="AY9" i="2" s="1"/>
  <c r="AY10" i="2" s="1"/>
  <c r="AY11" i="2" s="1"/>
  <c r="AY12" i="2" s="1"/>
  <c r="AY13" i="2" s="1"/>
  <c r="AY14" i="2" s="1"/>
  <c r="AY15" i="2" s="1"/>
  <c r="AY16" i="2" s="1"/>
  <c r="AY17" i="2" s="1"/>
  <c r="AY18" i="2" s="1"/>
  <c r="AY19" i="2" s="1"/>
  <c r="AY20" i="2" s="1"/>
  <c r="AY21" i="2" s="1"/>
  <c r="AY22" i="2" s="1"/>
  <c r="AY23" i="2" s="1"/>
  <c r="AY24" i="2" s="1"/>
  <c r="AY25" i="2" s="1"/>
  <c r="AY26" i="2" s="1"/>
  <c r="AY27" i="2" s="1"/>
  <c r="AY28" i="2" s="1"/>
  <c r="AY29" i="2" s="1"/>
  <c r="AY30" i="2" s="1"/>
  <c r="AY31" i="2" s="1"/>
  <c r="AY32" i="2" s="1"/>
  <c r="AU7" i="2"/>
  <c r="AU8" i="2" s="1"/>
  <c r="AU9" i="2" s="1"/>
  <c r="AU10" i="2" s="1"/>
  <c r="AU11" i="2" s="1"/>
  <c r="AU12" i="2" s="1"/>
  <c r="AU13" i="2" s="1"/>
  <c r="AU14" i="2" s="1"/>
  <c r="AU15" i="2" s="1"/>
  <c r="AU16" i="2" s="1"/>
  <c r="AU17" i="2" s="1"/>
  <c r="AU18" i="2" s="1"/>
  <c r="AU19" i="2" s="1"/>
  <c r="AU20" i="2" s="1"/>
  <c r="AU21" i="2" s="1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M7" i="2"/>
  <c r="AM8" i="2" s="1"/>
  <c r="AM9" i="2" s="1"/>
  <c r="AM10" i="2" s="1"/>
  <c r="AM11" i="2" s="1"/>
  <c r="AM12" i="2" s="1"/>
  <c r="AM13" i="2" s="1"/>
  <c r="AM14" i="2" s="1"/>
  <c r="AM15" i="2" s="1"/>
  <c r="AM16" i="2" s="1"/>
  <c r="AM17" i="2" s="1"/>
  <c r="AM18" i="2" s="1"/>
  <c r="AM19" i="2" s="1"/>
  <c r="AM20" i="2" s="1"/>
  <c r="AM21" i="2" s="1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I7" i="2"/>
  <c r="AI8" i="2" s="1"/>
  <c r="AI9" i="2" s="1"/>
  <c r="AI10" i="2" s="1"/>
  <c r="AI11" i="2" s="1"/>
  <c r="AI12" i="2" s="1"/>
  <c r="AI13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E7" i="2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A7" i="2"/>
  <c r="AA8" i="2" s="1"/>
  <c r="AA9" i="2" s="1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W7" i="2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O7" i="2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K7" i="2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CX7" i="2" l="1"/>
  <c r="CX8" i="2"/>
  <c r="CT8" i="2"/>
  <c r="CT7" i="2"/>
  <c r="CH7" i="2"/>
  <c r="CH8" i="2"/>
  <c r="BV6" i="2"/>
  <c r="CL6" i="2"/>
  <c r="CD8" i="2"/>
  <c r="CD7" i="2"/>
  <c r="BR7" i="2"/>
  <c r="BR8" i="2"/>
  <c r="BJ6" i="2"/>
  <c r="BZ6" i="2"/>
  <c r="CP6" i="2"/>
  <c r="BN8" i="2"/>
  <c r="BN7" i="2"/>
  <c r="DB6" i="1"/>
  <c r="DB7" i="1" s="1"/>
  <c r="CX6" i="1"/>
  <c r="CP6" i="1"/>
  <c r="CP8" i="1" s="1"/>
  <c r="BB7" i="2"/>
  <c r="BB8" i="2"/>
  <c r="BB14" i="2"/>
  <c r="DB6" i="2"/>
  <c r="BF6" i="1"/>
  <c r="CL6" i="1"/>
  <c r="CT6" i="1"/>
  <c r="CH6" i="1"/>
  <c r="BJ6" i="1"/>
  <c r="BJ8" i="1" s="1"/>
  <c r="F22" i="2"/>
  <c r="BF5" i="2" s="1"/>
  <c r="AX12" i="2"/>
  <c r="AX14" i="2" s="1"/>
  <c r="F18" i="2"/>
  <c r="AX5" i="2" s="1"/>
  <c r="F17" i="2"/>
  <c r="AT5" i="2" s="1"/>
  <c r="AT6" i="2" s="1"/>
  <c r="AP5" i="2"/>
  <c r="F14" i="2"/>
  <c r="AL5" i="2" s="1"/>
  <c r="AL6" i="2" s="1"/>
  <c r="F13" i="2"/>
  <c r="AH5" i="2" s="1"/>
  <c r="F12" i="2"/>
  <c r="AD5" i="2" s="1"/>
  <c r="AD6" i="2" s="1"/>
  <c r="F11" i="2"/>
  <c r="Z5" i="2" s="1"/>
  <c r="F10" i="2"/>
  <c r="V12" i="2" s="1"/>
  <c r="F9" i="2"/>
  <c r="V5" i="2" s="1"/>
  <c r="V6" i="2" s="1"/>
  <c r="F8" i="2"/>
  <c r="R12" i="2" s="1"/>
  <c r="F7" i="2"/>
  <c r="R5" i="2" s="1"/>
  <c r="F6" i="2"/>
  <c r="N12" i="2" s="1"/>
  <c r="F5" i="2"/>
  <c r="N5" i="2" s="1"/>
  <c r="F4" i="2"/>
  <c r="J5" i="2" s="1"/>
  <c r="J6" i="2" s="1"/>
  <c r="AP5" i="1"/>
  <c r="F14" i="1"/>
  <c r="AL5" i="1" s="1"/>
  <c r="F13" i="1"/>
  <c r="AH5" i="1" s="1"/>
  <c r="F12" i="1"/>
  <c r="AD5" i="1" s="1"/>
  <c r="F11" i="1"/>
  <c r="Z5" i="1" s="1"/>
  <c r="F10" i="1"/>
  <c r="V12" i="1" s="1"/>
  <c r="F9" i="1"/>
  <c r="V5" i="1" s="1"/>
  <c r="F8" i="1"/>
  <c r="R12" i="1" s="1"/>
  <c r="F7" i="1"/>
  <c r="R5" i="1" s="1"/>
  <c r="F6" i="1"/>
  <c r="N12" i="1" s="1"/>
  <c r="BB12" i="1"/>
  <c r="BB5" i="1"/>
  <c r="F19" i="1"/>
  <c r="AX12" i="1" s="1"/>
  <c r="F18" i="1"/>
  <c r="AX5" i="1" s="1"/>
  <c r="F17" i="1"/>
  <c r="AT5" i="1" s="1"/>
  <c r="AT6" i="1" s="1"/>
  <c r="F4" i="1"/>
  <c r="J5" i="1" s="1"/>
  <c r="J6" i="1" s="1"/>
  <c r="CQ7" i="1"/>
  <c r="CQ8" i="1" s="1"/>
  <c r="CQ9" i="1" s="1"/>
  <c r="CQ10" i="1" s="1"/>
  <c r="CQ11" i="1" s="1"/>
  <c r="CQ12" i="1" s="1"/>
  <c r="CQ13" i="1" s="1"/>
  <c r="CQ14" i="1" s="1"/>
  <c r="CQ15" i="1" s="1"/>
  <c r="CQ16" i="1" s="1"/>
  <c r="CQ17" i="1" s="1"/>
  <c r="CQ18" i="1" s="1"/>
  <c r="CQ19" i="1" s="1"/>
  <c r="CQ20" i="1" s="1"/>
  <c r="CQ21" i="1" s="1"/>
  <c r="CQ22" i="1" s="1"/>
  <c r="CQ23" i="1" s="1"/>
  <c r="CQ24" i="1" s="1"/>
  <c r="CQ25" i="1" s="1"/>
  <c r="CQ26" i="1" s="1"/>
  <c r="CQ27" i="1" s="1"/>
  <c r="CQ28" i="1" s="1"/>
  <c r="CQ29" i="1" s="1"/>
  <c r="CQ30" i="1" s="1"/>
  <c r="CQ31" i="1" s="1"/>
  <c r="CQ32" i="1" s="1"/>
  <c r="CM7" i="1"/>
  <c r="CM8" i="1" s="1"/>
  <c r="CM9" i="1" s="1"/>
  <c r="CM10" i="1" s="1"/>
  <c r="CM11" i="1" s="1"/>
  <c r="CM12" i="1" s="1"/>
  <c r="CM13" i="1" s="1"/>
  <c r="CM14" i="1" s="1"/>
  <c r="CM15" i="1" s="1"/>
  <c r="CM16" i="1" s="1"/>
  <c r="CM17" i="1" s="1"/>
  <c r="CM18" i="1" s="1"/>
  <c r="CM19" i="1" s="1"/>
  <c r="CM20" i="1" s="1"/>
  <c r="CM21" i="1" s="1"/>
  <c r="CM22" i="1" s="1"/>
  <c r="CM23" i="1" s="1"/>
  <c r="CM24" i="1" s="1"/>
  <c r="CM25" i="1" s="1"/>
  <c r="CM26" i="1" s="1"/>
  <c r="CM27" i="1" s="1"/>
  <c r="CM28" i="1" s="1"/>
  <c r="CM29" i="1" s="1"/>
  <c r="CM30" i="1" s="1"/>
  <c r="CM31" i="1" s="1"/>
  <c r="CM32" i="1" s="1"/>
  <c r="CI7" i="1"/>
  <c r="CI8" i="1" s="1"/>
  <c r="CI9" i="1" s="1"/>
  <c r="CI10" i="1" s="1"/>
  <c r="CI11" i="1" s="1"/>
  <c r="CI12" i="1" s="1"/>
  <c r="CI13" i="1" s="1"/>
  <c r="CI14" i="1" s="1"/>
  <c r="CI15" i="1" s="1"/>
  <c r="CI16" i="1" s="1"/>
  <c r="CI17" i="1" s="1"/>
  <c r="CI18" i="1" s="1"/>
  <c r="CI19" i="1" s="1"/>
  <c r="CI20" i="1" s="1"/>
  <c r="CI21" i="1" s="1"/>
  <c r="CI22" i="1" s="1"/>
  <c r="CI23" i="1" s="1"/>
  <c r="CI24" i="1" s="1"/>
  <c r="CI25" i="1" s="1"/>
  <c r="CI26" i="1" s="1"/>
  <c r="CI27" i="1" s="1"/>
  <c r="CI28" i="1" s="1"/>
  <c r="CI29" i="1" s="1"/>
  <c r="CI30" i="1" s="1"/>
  <c r="CI31" i="1" s="1"/>
  <c r="CI32" i="1" s="1"/>
  <c r="CE7" i="1"/>
  <c r="CE8" i="1" s="1"/>
  <c r="CE9" i="1" s="1"/>
  <c r="CE10" i="1" s="1"/>
  <c r="CE11" i="1" s="1"/>
  <c r="CE12" i="1" s="1"/>
  <c r="CE13" i="1" s="1"/>
  <c r="CE14" i="1" s="1"/>
  <c r="CE15" i="1" s="1"/>
  <c r="CE16" i="1" s="1"/>
  <c r="CE17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28" i="1" s="1"/>
  <c r="CE29" i="1" s="1"/>
  <c r="CE30" i="1" s="1"/>
  <c r="CE31" i="1" s="1"/>
  <c r="CE32" i="1" s="1"/>
  <c r="CA7" i="1"/>
  <c r="CA8" i="1" s="1"/>
  <c r="CA9" i="1" s="1"/>
  <c r="CA10" i="1" s="1"/>
  <c r="CA11" i="1" s="1"/>
  <c r="CA12" i="1" s="1"/>
  <c r="CA13" i="1" s="1"/>
  <c r="CA14" i="1" s="1"/>
  <c r="CA15" i="1" s="1"/>
  <c r="CA16" i="1" s="1"/>
  <c r="CA17" i="1" s="1"/>
  <c r="CA18" i="1" s="1"/>
  <c r="CA19" i="1" s="1"/>
  <c r="CA20" i="1" s="1"/>
  <c r="CA21" i="1" s="1"/>
  <c r="CA22" i="1" s="1"/>
  <c r="CA23" i="1" s="1"/>
  <c r="CA24" i="1" s="1"/>
  <c r="CA25" i="1" s="1"/>
  <c r="CA26" i="1" s="1"/>
  <c r="CA27" i="1" s="1"/>
  <c r="CA28" i="1" s="1"/>
  <c r="CA29" i="1" s="1"/>
  <c r="CA30" i="1" s="1"/>
  <c r="CA31" i="1" s="1"/>
  <c r="CA32" i="1" s="1"/>
  <c r="BW7" i="1"/>
  <c r="BW8" i="1" s="1"/>
  <c r="BW9" i="1" s="1"/>
  <c r="BW10" i="1" s="1"/>
  <c r="BW11" i="1" s="1"/>
  <c r="BW12" i="1" s="1"/>
  <c r="BW13" i="1" s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S7" i="1"/>
  <c r="BS8" i="1" s="1"/>
  <c r="BS9" i="1" s="1"/>
  <c r="BS10" i="1" s="1"/>
  <c r="BS11" i="1" s="1"/>
  <c r="BS12" i="1" s="1"/>
  <c r="BS13" i="1" s="1"/>
  <c r="BS14" i="1" s="1"/>
  <c r="BS15" i="1" s="1"/>
  <c r="BS16" i="1" s="1"/>
  <c r="BS17" i="1" s="1"/>
  <c r="BS18" i="1" s="1"/>
  <c r="BS19" i="1" s="1"/>
  <c r="BS20" i="1" s="1"/>
  <c r="BS21" i="1" s="1"/>
  <c r="BS22" i="1" s="1"/>
  <c r="BS23" i="1" s="1"/>
  <c r="BS24" i="1" s="1"/>
  <c r="BS25" i="1" s="1"/>
  <c r="BS26" i="1" s="1"/>
  <c r="BS27" i="1" s="1"/>
  <c r="BS28" i="1" s="1"/>
  <c r="BS29" i="1" s="1"/>
  <c r="BS30" i="1" s="1"/>
  <c r="BS31" i="1" s="1"/>
  <c r="BS32" i="1" s="1"/>
  <c r="BO7" i="1"/>
  <c r="BO8" i="1" s="1"/>
  <c r="BO9" i="1" s="1"/>
  <c r="BO10" i="1" s="1"/>
  <c r="BO11" i="1" s="1"/>
  <c r="BO12" i="1" s="1"/>
  <c r="BO13" i="1" s="1"/>
  <c r="BO14" i="1" s="1"/>
  <c r="BO15" i="1" s="1"/>
  <c r="BO16" i="1" s="1"/>
  <c r="BO17" i="1" s="1"/>
  <c r="BO18" i="1" s="1"/>
  <c r="BO19" i="1" s="1"/>
  <c r="BO20" i="1" s="1"/>
  <c r="BO21" i="1" s="1"/>
  <c r="BO22" i="1" s="1"/>
  <c r="BO23" i="1" s="1"/>
  <c r="BO24" i="1" s="1"/>
  <c r="BO25" i="1" s="1"/>
  <c r="BO26" i="1" s="1"/>
  <c r="BO27" i="1" s="1"/>
  <c r="BO28" i="1" s="1"/>
  <c r="BO29" i="1" s="1"/>
  <c r="BO30" i="1" s="1"/>
  <c r="BO31" i="1" s="1"/>
  <c r="BO32" i="1" s="1"/>
  <c r="BK7" i="1"/>
  <c r="BK8" i="1" s="1"/>
  <c r="BK9" i="1" s="1"/>
  <c r="BK10" i="1" s="1"/>
  <c r="BK11" i="1" s="1"/>
  <c r="BK12" i="1" s="1"/>
  <c r="BK13" i="1" s="1"/>
  <c r="BK14" i="1" s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G7" i="1"/>
  <c r="BG8" i="1" s="1"/>
  <c r="BG9" i="1" s="1"/>
  <c r="BG10" i="1" s="1"/>
  <c r="BG11" i="1" s="1"/>
  <c r="BG12" i="1" s="1"/>
  <c r="BG13" i="1" s="1"/>
  <c r="BG14" i="1" s="1"/>
  <c r="BG15" i="1" s="1"/>
  <c r="BG16" i="1" s="1"/>
  <c r="BG17" i="1" s="1"/>
  <c r="BG18" i="1" s="1"/>
  <c r="BG19" i="1" s="1"/>
  <c r="BG20" i="1" s="1"/>
  <c r="BG21" i="1" s="1"/>
  <c r="BG22" i="1" s="1"/>
  <c r="BG23" i="1" s="1"/>
  <c r="BG24" i="1" s="1"/>
  <c r="BG25" i="1" s="1"/>
  <c r="BG26" i="1" s="1"/>
  <c r="BG27" i="1" s="1"/>
  <c r="BG28" i="1" s="1"/>
  <c r="BG29" i="1" s="1"/>
  <c r="BG30" i="1" s="1"/>
  <c r="BG31" i="1" s="1"/>
  <c r="BG32" i="1" s="1"/>
  <c r="BC7" i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AY7" i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U7" i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M7" i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I7" i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A7" i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S7" i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F5" i="1"/>
  <c r="N5" i="1" s="1"/>
  <c r="AT8" i="2" l="1"/>
  <c r="AT7" i="2"/>
  <c r="AT8" i="1"/>
  <c r="AT7" i="1"/>
  <c r="J8" i="2"/>
  <c r="J7" i="2"/>
  <c r="J9" i="2" s="1"/>
  <c r="J7" i="1"/>
  <c r="J8" i="1"/>
  <c r="J9" i="1" s="1"/>
  <c r="BN10" i="2"/>
  <c r="BN9" i="2"/>
  <c r="D25" i="2" s="1"/>
  <c r="BB10" i="2"/>
  <c r="CP7" i="1"/>
  <c r="CP9" i="1" s="1"/>
  <c r="D33" i="1" s="1"/>
  <c r="CX10" i="2"/>
  <c r="BF6" i="2"/>
  <c r="BR10" i="2"/>
  <c r="BR9" i="2"/>
  <c r="D26" i="2" s="1"/>
  <c r="CL7" i="2"/>
  <c r="CL8" i="2"/>
  <c r="CH10" i="2"/>
  <c r="CH9" i="2"/>
  <c r="D31" i="2" s="1"/>
  <c r="CX9" i="2"/>
  <c r="D36" i="2" s="1"/>
  <c r="BZ8" i="2"/>
  <c r="BZ7" i="2"/>
  <c r="CP8" i="2"/>
  <c r="CP7" i="2"/>
  <c r="BJ8" i="2"/>
  <c r="BJ7" i="2"/>
  <c r="CD9" i="2"/>
  <c r="CD10" i="2"/>
  <c r="BV7" i="2"/>
  <c r="BV8" i="2"/>
  <c r="CT9" i="2"/>
  <c r="D34" i="2" s="1"/>
  <c r="CT10" i="2"/>
  <c r="DB8" i="1"/>
  <c r="DB10" i="1" s="1"/>
  <c r="AX6" i="1"/>
  <c r="V14" i="1"/>
  <c r="R14" i="1"/>
  <c r="CX8" i="1"/>
  <c r="CX7" i="1"/>
  <c r="BB9" i="2"/>
  <c r="BB16" i="2"/>
  <c r="BB15" i="2"/>
  <c r="DB8" i="2"/>
  <c r="DB7" i="2"/>
  <c r="CT7" i="1"/>
  <c r="CT8" i="1"/>
  <c r="BZ6" i="1"/>
  <c r="CH8" i="1"/>
  <c r="CH7" i="1"/>
  <c r="BJ7" i="1"/>
  <c r="BJ9" i="1" s="1"/>
  <c r="D24" i="1" s="1"/>
  <c r="BN6" i="1"/>
  <c r="CD6" i="1"/>
  <c r="BF8" i="1"/>
  <c r="BF7" i="1"/>
  <c r="BB14" i="1"/>
  <c r="BB6" i="1"/>
  <c r="BV6" i="1"/>
  <c r="BR6" i="1"/>
  <c r="CL7" i="1"/>
  <c r="CL8" i="1"/>
  <c r="AX14" i="1"/>
  <c r="R6" i="2"/>
  <c r="Z6" i="2"/>
  <c r="N14" i="2"/>
  <c r="V14" i="2"/>
  <c r="AD7" i="2"/>
  <c r="AD8" i="2"/>
  <c r="V7" i="2"/>
  <c r="V8" i="2"/>
  <c r="AH6" i="2"/>
  <c r="AX6" i="2"/>
  <c r="AL7" i="2"/>
  <c r="AL8" i="2"/>
  <c r="N6" i="2"/>
  <c r="AP6" i="2"/>
  <c r="R14" i="2"/>
  <c r="N14" i="1"/>
  <c r="AP6" i="1"/>
  <c r="Z6" i="1"/>
  <c r="R6" i="1"/>
  <c r="N6" i="1"/>
  <c r="AH6" i="1"/>
  <c r="V6" i="1"/>
  <c r="AL6" i="1"/>
  <c r="AD6" i="1"/>
  <c r="AT9" i="2" l="1"/>
  <c r="AT10" i="2"/>
  <c r="AT9" i="1"/>
  <c r="AT10" i="1"/>
  <c r="J10" i="2"/>
  <c r="J10" i="1"/>
  <c r="D29" i="2"/>
  <c r="E29" i="2"/>
  <c r="CH9" i="1"/>
  <c r="BB18" i="2"/>
  <c r="AL10" i="2"/>
  <c r="AL9" i="2"/>
  <c r="D14" i="2" s="1"/>
  <c r="AD10" i="2"/>
  <c r="AD9" i="2"/>
  <c r="D12" i="2" s="1"/>
  <c r="V17" i="2"/>
  <c r="V10" i="2"/>
  <c r="V9" i="2"/>
  <c r="D9" i="2" s="1"/>
  <c r="CX9" i="1"/>
  <c r="D36" i="1" s="1"/>
  <c r="CT9" i="1"/>
  <c r="D34" i="1" s="1"/>
  <c r="CP10" i="1"/>
  <c r="E33" i="1" s="1"/>
  <c r="CL9" i="1"/>
  <c r="D32" i="1" s="1"/>
  <c r="DB10" i="2"/>
  <c r="DB9" i="2"/>
  <c r="E37" i="2" s="1"/>
  <c r="BJ10" i="2"/>
  <c r="BJ9" i="2"/>
  <c r="D24" i="2" s="1"/>
  <c r="BZ10" i="2"/>
  <c r="BZ9" i="2"/>
  <c r="D28" i="2" s="1"/>
  <c r="BV10" i="2"/>
  <c r="BV9" i="2"/>
  <c r="D27" i="2" s="1"/>
  <c r="BF8" i="2"/>
  <c r="BF7" i="2"/>
  <c r="CP10" i="2"/>
  <c r="CP9" i="2"/>
  <c r="D33" i="2" s="1"/>
  <c r="CL10" i="2"/>
  <c r="CL9" i="2"/>
  <c r="D32" i="2" s="1"/>
  <c r="DB9" i="1"/>
  <c r="E37" i="1" s="1"/>
  <c r="CX10" i="1"/>
  <c r="AX7" i="1"/>
  <c r="AX8" i="1"/>
  <c r="AX9" i="1" s="1"/>
  <c r="D18" i="1" s="1"/>
  <c r="AX16" i="1"/>
  <c r="V15" i="1"/>
  <c r="V16" i="1"/>
  <c r="R16" i="1"/>
  <c r="R17" i="1" s="1"/>
  <c r="D8" i="1" s="1"/>
  <c r="R15" i="1"/>
  <c r="R18" i="1" s="1"/>
  <c r="BJ10" i="1"/>
  <c r="E24" i="1" s="1"/>
  <c r="BB17" i="2"/>
  <c r="D21" i="2" s="1"/>
  <c r="BF9" i="1"/>
  <c r="BF10" i="1"/>
  <c r="BR7" i="1"/>
  <c r="BR8" i="1"/>
  <c r="CD7" i="1"/>
  <c r="CD8" i="1"/>
  <c r="BN8" i="1"/>
  <c r="BN7" i="1"/>
  <c r="BZ8" i="1"/>
  <c r="BZ7" i="1"/>
  <c r="BB16" i="1"/>
  <c r="BB15" i="1"/>
  <c r="CH10" i="1"/>
  <c r="CL10" i="1"/>
  <c r="BV8" i="1"/>
  <c r="BV7" i="1"/>
  <c r="BB8" i="1"/>
  <c r="BB7" i="1"/>
  <c r="CT10" i="1"/>
  <c r="AX15" i="1"/>
  <c r="AX18" i="1" s="1"/>
  <c r="AX16" i="2"/>
  <c r="AX15" i="2"/>
  <c r="N7" i="2"/>
  <c r="N8" i="2"/>
  <c r="N10" i="2" s="1"/>
  <c r="AH7" i="2"/>
  <c r="AH8" i="2"/>
  <c r="V16" i="2"/>
  <c r="V15" i="2"/>
  <c r="Z7" i="2"/>
  <c r="Z8" i="2"/>
  <c r="Z9" i="2" s="1"/>
  <c r="R7" i="2"/>
  <c r="R8" i="2"/>
  <c r="R15" i="2"/>
  <c r="R16" i="2"/>
  <c r="AP7" i="2"/>
  <c r="AP8" i="2"/>
  <c r="AX7" i="2"/>
  <c r="AX8" i="2"/>
  <c r="AX9" i="2" s="1"/>
  <c r="N16" i="2"/>
  <c r="N17" i="2" s="1"/>
  <c r="N15" i="2"/>
  <c r="AP8" i="1"/>
  <c r="N15" i="1"/>
  <c r="N16" i="1"/>
  <c r="N17" i="1" s="1"/>
  <c r="AP7" i="1"/>
  <c r="AD7" i="1"/>
  <c r="AD8" i="1"/>
  <c r="AL8" i="1"/>
  <c r="AL7" i="1"/>
  <c r="AH7" i="1"/>
  <c r="AH8" i="1"/>
  <c r="N7" i="1"/>
  <c r="N8" i="1"/>
  <c r="V7" i="1"/>
  <c r="V8" i="1"/>
  <c r="Z7" i="1"/>
  <c r="Z8" i="1"/>
  <c r="R7" i="1"/>
  <c r="R8" i="1"/>
  <c r="D31" i="1" l="1"/>
  <c r="BF10" i="2"/>
  <c r="BF9" i="2"/>
  <c r="D22" i="2" s="1"/>
  <c r="AX17" i="2"/>
  <c r="AP9" i="2"/>
  <c r="D15" i="2" s="1"/>
  <c r="E14" i="2"/>
  <c r="E12" i="2"/>
  <c r="D10" i="2"/>
  <c r="E9" i="2"/>
  <c r="R17" i="2"/>
  <c r="R9" i="2"/>
  <c r="D7" i="2" s="1"/>
  <c r="N9" i="2"/>
  <c r="D5" i="2" s="1"/>
  <c r="D4" i="2"/>
  <c r="E36" i="1"/>
  <c r="E34" i="1"/>
  <c r="E32" i="1"/>
  <c r="BZ9" i="1"/>
  <c r="D28" i="1" s="1"/>
  <c r="BV9" i="1"/>
  <c r="BR9" i="1"/>
  <c r="D26" i="1" s="1"/>
  <c r="BN9" i="1"/>
  <c r="D25" i="1" s="1"/>
  <c r="E8" i="1"/>
  <c r="R10" i="1"/>
  <c r="R9" i="1"/>
  <c r="N9" i="1"/>
  <c r="D5" i="1" s="1"/>
  <c r="D17" i="2"/>
  <c r="AH10" i="2"/>
  <c r="AH9" i="2"/>
  <c r="D13" i="2" s="1"/>
  <c r="Z9" i="1"/>
  <c r="D11" i="1" s="1"/>
  <c r="CD9" i="1"/>
  <c r="D29" i="1" s="1"/>
  <c r="E22" i="1"/>
  <c r="AX17" i="1"/>
  <c r="D19" i="1" s="1"/>
  <c r="AP10" i="1"/>
  <c r="V17" i="1"/>
  <c r="D10" i="1" s="1"/>
  <c r="V18" i="1"/>
  <c r="AP9" i="1"/>
  <c r="AL9" i="1"/>
  <c r="AH10" i="1"/>
  <c r="AH9" i="1"/>
  <c r="AD9" i="1"/>
  <c r="E21" i="2"/>
  <c r="D37" i="2"/>
  <c r="D20" i="2"/>
  <c r="E20" i="2"/>
  <c r="BB17" i="1"/>
  <c r="D22" i="1"/>
  <c r="BB18" i="1"/>
  <c r="V9" i="1"/>
  <c r="BB9" i="1"/>
  <c r="BB10" i="1"/>
  <c r="D37" i="1"/>
  <c r="CD10" i="1"/>
  <c r="E29" i="1" s="1"/>
  <c r="BZ10" i="1"/>
  <c r="BV10" i="1"/>
  <c r="BN10" i="1"/>
  <c r="BR10" i="1"/>
  <c r="E26" i="1" s="1"/>
  <c r="AP10" i="2"/>
  <c r="E15" i="2" s="1"/>
  <c r="V18" i="2"/>
  <c r="E10" i="2" s="1"/>
  <c r="AL10" i="1"/>
  <c r="AD10" i="1"/>
  <c r="D8" i="2"/>
  <c r="AX18" i="2"/>
  <c r="D11" i="2"/>
  <c r="N18" i="2"/>
  <c r="D18" i="2"/>
  <c r="E27" i="2"/>
  <c r="R18" i="2"/>
  <c r="E8" i="2" s="1"/>
  <c r="AX10" i="2"/>
  <c r="E18" i="2" s="1"/>
  <c r="E36" i="2"/>
  <c r="R10" i="2"/>
  <c r="Z10" i="2"/>
  <c r="E25" i="2"/>
  <c r="AX10" i="1"/>
  <c r="E18" i="1" s="1"/>
  <c r="N18" i="1"/>
  <c r="E6" i="1" s="1"/>
  <c r="Z10" i="1"/>
  <c r="V10" i="1"/>
  <c r="N10" i="1"/>
  <c r="E5" i="1" s="1"/>
  <c r="E10" i="1" l="1"/>
  <c r="E22" i="2"/>
  <c r="E13" i="2"/>
  <c r="E5" i="2"/>
  <c r="E4" i="2"/>
  <c r="E28" i="1"/>
  <c r="E27" i="1"/>
  <c r="E25" i="1"/>
  <c r="E17" i="1"/>
  <c r="E11" i="1"/>
  <c r="E7" i="1"/>
  <c r="E4" i="1"/>
  <c r="E19" i="1"/>
  <c r="D14" i="1"/>
  <c r="E14" i="1"/>
  <c r="D13" i="1"/>
  <c r="E13" i="1"/>
  <c r="D12" i="1"/>
  <c r="E12" i="1"/>
  <c r="D15" i="1"/>
  <c r="E15" i="1"/>
  <c r="D20" i="1"/>
  <c r="E20" i="1"/>
  <c r="D21" i="1"/>
  <c r="E21" i="1"/>
  <c r="D9" i="1"/>
  <c r="E9" i="1"/>
  <c r="E34" i="2"/>
  <c r="E33" i="2"/>
  <c r="E32" i="2"/>
  <c r="E31" i="2"/>
  <c r="E28" i="2"/>
  <c r="E26" i="2"/>
  <c r="E24" i="2"/>
  <c r="D27" i="1"/>
  <c r="D7" i="1"/>
  <c r="E17" i="2"/>
  <c r="E19" i="2"/>
  <c r="E6" i="2"/>
  <c r="D6" i="2"/>
  <c r="E7" i="2"/>
  <c r="E11" i="2"/>
  <c r="D19" i="2"/>
  <c r="D17" i="1"/>
  <c r="D4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IT-avdelingen</author>
  </authors>
  <commentList>
    <comment ref="B2" authorId="0" shapeId="0" xr:uid="{8ACDF0D9-DEAD-4DC4-B360-6930FF1DD1E8}">
      <text>
        <r>
          <rPr>
            <b/>
            <sz val="7"/>
            <color indexed="81"/>
            <rFont val="Arial"/>
            <family val="2"/>
          </rPr>
          <t>Nasjonal poengtabell</t>
        </r>
        <r>
          <rPr>
            <sz val="7"/>
            <color indexed="81"/>
            <rFont val="Arial"/>
            <family val="2"/>
          </rPr>
          <t xml:space="preserve"> for senior gjelder fra og med 2003.
Algoritmen er utarbeidet av Serieutvalget NFIF v/Stein Fossen og er i første rekke ment til bruk i NFIFs seriesystem.
For å hindre utilsiktede endringer i algoritmen er denne skjult og beskyttet i regnearket. Bare inntasting av </t>
        </r>
        <r>
          <rPr>
            <i/>
            <sz val="7"/>
            <color indexed="81"/>
            <rFont val="Arial"/>
            <family val="2"/>
          </rPr>
          <t>resultater</t>
        </r>
        <r>
          <rPr>
            <sz val="7"/>
            <color indexed="81"/>
            <rFont val="Arial"/>
            <family val="2"/>
          </rPr>
          <t xml:space="preserve"> er tillatt.
Kommentarer kan rettes til: odd.lahn-johannessen@nhh.no
</t>
        </r>
      </text>
    </comment>
    <comment ref="B3" authorId="0" shapeId="0" xr:uid="{951980ED-7087-4ABD-AB5D-696B410952EA}">
      <text>
        <r>
          <rPr>
            <b/>
            <sz val="7"/>
            <color indexed="81"/>
            <rFont val="Arial"/>
            <family val="2"/>
          </rPr>
          <t>Øvelses-</t>
        </r>
        <r>
          <rPr>
            <sz val="7"/>
            <color indexed="81"/>
            <rFont val="Arial"/>
            <family val="2"/>
          </rPr>
          <t xml:space="preserve">kolonnen angir alle gjeldende øvelser i seriesammenheng.
For å finne poeng for et gitt resultat må dette tastes inn i resultatfeltet til høyre for øvelsen. 
Legg merke til at elektroniske og manuelle tidsresultater har forskjellige øvelses-resultatfelter for de </t>
        </r>
        <r>
          <rPr>
            <i/>
            <sz val="7"/>
            <color indexed="81"/>
            <rFont val="Arial"/>
            <family val="2"/>
          </rPr>
          <t>korte</t>
        </r>
        <r>
          <rPr>
            <sz val="7"/>
            <color indexed="81"/>
            <rFont val="Arial"/>
            <family val="2"/>
          </rPr>
          <t xml:space="preserve"> løpene.
For de </t>
        </r>
        <r>
          <rPr>
            <i/>
            <sz val="7"/>
            <color indexed="81"/>
            <rFont val="Arial"/>
            <family val="2"/>
          </rPr>
          <t>lange</t>
        </r>
        <r>
          <rPr>
            <sz val="7"/>
            <color indexed="81"/>
            <rFont val="Arial"/>
            <family val="2"/>
          </rPr>
          <t xml:space="preserve"> løpene angis resultatet </t>
        </r>
        <r>
          <rPr>
            <i/>
            <sz val="7"/>
            <color indexed="81"/>
            <rFont val="Arial"/>
            <family val="2"/>
          </rPr>
          <t>alltid</t>
        </r>
        <r>
          <rPr>
            <sz val="7"/>
            <color indexed="81"/>
            <rFont val="Arial"/>
            <family val="2"/>
          </rPr>
          <t xml:space="preserve"> som om det skulle være </t>
        </r>
        <r>
          <rPr>
            <i/>
            <sz val="7"/>
            <color indexed="81"/>
            <rFont val="Arial"/>
            <family val="2"/>
          </rPr>
          <t>elektronisk</t>
        </r>
        <r>
          <rPr>
            <sz val="7"/>
            <color indexed="81"/>
            <rFont val="Arial"/>
            <family val="2"/>
          </rPr>
          <t xml:space="preserve"> registrert. (For</t>
        </r>
        <r>
          <rPr>
            <i/>
            <sz val="7"/>
            <color indexed="81"/>
            <rFont val="Arial"/>
            <family val="2"/>
          </rPr>
          <t xml:space="preserve"> manuelle</t>
        </r>
        <r>
          <rPr>
            <sz val="7"/>
            <color indexed="81"/>
            <rFont val="Arial"/>
            <family val="2"/>
          </rPr>
          <t xml:space="preserve"> tider tilføyes derfor </t>
        </r>
        <r>
          <rPr>
            <i/>
            <sz val="7"/>
            <color indexed="81"/>
            <rFont val="Arial"/>
            <family val="2"/>
          </rPr>
          <t>alltid</t>
        </r>
        <r>
          <rPr>
            <sz val="7"/>
            <color indexed="81"/>
            <rFont val="Arial"/>
            <family val="2"/>
          </rPr>
          <t xml:space="preserve"> sifferet 0.  Eksempelvis skal tiden 4:02.6 tastes som </t>
        </r>
        <r>
          <rPr>
            <b/>
            <sz val="7"/>
            <color indexed="81"/>
            <rFont val="Arial"/>
            <family val="2"/>
          </rPr>
          <t>4026</t>
        </r>
        <r>
          <rPr>
            <b/>
            <u/>
            <sz val="7"/>
            <color indexed="81"/>
            <rFont val="Arial"/>
            <family val="2"/>
          </rPr>
          <t>0</t>
        </r>
        <r>
          <rPr>
            <sz val="7"/>
            <color indexed="81"/>
            <rFont val="Arial"/>
            <family val="2"/>
          </rPr>
          <t>)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C3" authorId="0" shapeId="0" xr:uid="{DCA94925-B53E-414F-A6BD-8FFDB18E123B}">
      <text>
        <r>
          <rPr>
            <b/>
            <sz val="7"/>
            <color indexed="81"/>
            <rFont val="Tahoma"/>
            <family val="2"/>
          </rPr>
          <t>Resultatet</t>
        </r>
        <r>
          <rPr>
            <sz val="7"/>
            <color indexed="81"/>
            <rFont val="Tahoma"/>
            <family val="2"/>
          </rPr>
          <t xml:space="preserve"> skal angis fortløpende, dvs. </t>
        </r>
        <r>
          <rPr>
            <b/>
            <i/>
            <sz val="7"/>
            <color indexed="81"/>
            <rFont val="Tahoma"/>
            <family val="2"/>
          </rPr>
          <t>uten</t>
        </r>
        <r>
          <rPr>
            <sz val="7"/>
            <color indexed="81"/>
            <rFont val="Tahoma"/>
            <family val="2"/>
          </rPr>
          <t xml:space="preserve"> skilletegn:
</t>
        </r>
        <r>
          <rPr>
            <b/>
            <sz val="7"/>
            <color indexed="81"/>
            <rFont val="Tahoma"/>
            <family val="2"/>
          </rPr>
          <t>Tid</t>
        </r>
        <r>
          <rPr>
            <sz val="7"/>
            <color indexed="81"/>
            <rFont val="Tahoma"/>
            <family val="2"/>
          </rPr>
          <t xml:space="preserve">:            Angis i min.-sek.-1/100 (evt. 1/10)-sek.:
 </t>
        </r>
        <r>
          <rPr>
            <sz val="7"/>
            <color indexed="81"/>
            <rFont val="Arial"/>
            <family val="2"/>
          </rPr>
          <t xml:space="preserve">                     Eks.: 11,3 (manuell tid) skrives inn som </t>
        </r>
        <r>
          <rPr>
            <b/>
            <sz val="7"/>
            <color indexed="81"/>
            <rFont val="Arial"/>
            <family val="2"/>
          </rPr>
          <t>113</t>
        </r>
        <r>
          <rPr>
            <sz val="7"/>
            <color indexed="81"/>
            <rFont val="Tahoma"/>
            <family val="2"/>
          </rPr>
          <t xml:space="preserve">
                      Eks.: 1:02.67 -&gt; </t>
        </r>
        <r>
          <rPr>
            <b/>
            <sz val="7"/>
            <color indexed="81"/>
            <rFont val="Tahoma"/>
            <family val="2"/>
          </rPr>
          <t>1</t>
        </r>
        <r>
          <rPr>
            <sz val="7"/>
            <color indexed="81"/>
            <rFont val="Tahoma"/>
            <family val="2"/>
          </rPr>
          <t xml:space="preserve"> min.</t>
        </r>
        <r>
          <rPr>
            <b/>
            <sz val="7"/>
            <color indexed="81"/>
            <rFont val="Tahoma"/>
            <family val="2"/>
          </rPr>
          <t xml:space="preserve"> 02 </t>
        </r>
        <r>
          <rPr>
            <sz val="7"/>
            <color indexed="81"/>
            <rFont val="Tahoma"/>
            <family val="2"/>
          </rPr>
          <t xml:space="preserve">sek. </t>
        </r>
        <r>
          <rPr>
            <b/>
            <sz val="7"/>
            <color indexed="81"/>
            <rFont val="Tahoma"/>
            <family val="2"/>
          </rPr>
          <t>67</t>
        </r>
        <r>
          <rPr>
            <sz val="7"/>
            <color indexed="81"/>
            <rFont val="Tahoma"/>
            <family val="2"/>
          </rPr>
          <t xml:space="preserve"> </t>
        </r>
        <r>
          <rPr>
            <i/>
            <sz val="7"/>
            <color indexed="81"/>
            <rFont val="Tahoma"/>
            <family val="2"/>
          </rPr>
          <t>1/100</t>
        </r>
        <r>
          <rPr>
            <sz val="7"/>
            <color indexed="81"/>
            <rFont val="Tahoma"/>
            <family val="2"/>
          </rPr>
          <t xml:space="preserve"> sek., skal
                                                     skrives inn som: </t>
        </r>
        <r>
          <rPr>
            <b/>
            <sz val="7"/>
            <color indexed="81"/>
            <rFont val="Tahoma"/>
            <family val="2"/>
          </rPr>
          <t xml:space="preserve">10267
 </t>
        </r>
        <r>
          <rPr>
            <b/>
            <sz val="7"/>
            <color indexed="81"/>
            <rFont val="Arial"/>
            <family val="2"/>
          </rPr>
          <t xml:space="preserve">     </t>
        </r>
        <r>
          <rPr>
            <b/>
            <sz val="6"/>
            <color indexed="81"/>
            <rFont val="Arial"/>
            <family val="2"/>
          </rPr>
          <t>NB!</t>
        </r>
        <r>
          <rPr>
            <b/>
            <sz val="7"/>
            <color indexed="81"/>
            <rFont val="Arial"/>
            <family val="2"/>
          </rPr>
          <t xml:space="preserve">  </t>
        </r>
        <r>
          <rPr>
            <sz val="7"/>
            <color indexed="81"/>
            <rFont val="Arial"/>
            <family val="2"/>
          </rPr>
          <t xml:space="preserve">Eks.: 1:02.6 -&gt; </t>
        </r>
        <r>
          <rPr>
            <b/>
            <sz val="7"/>
            <color indexed="81"/>
            <rFont val="Arial"/>
            <family val="2"/>
          </rPr>
          <t xml:space="preserve">1 min. 02 sek. 6 </t>
        </r>
        <r>
          <rPr>
            <i/>
            <sz val="7"/>
            <color indexed="81"/>
            <rFont val="Arial"/>
            <family val="2"/>
          </rPr>
          <t>1/10</t>
        </r>
        <r>
          <rPr>
            <sz val="7"/>
            <color indexed="81"/>
            <rFont val="Arial"/>
            <family val="2"/>
          </rPr>
          <t xml:space="preserve"> sek., skal
                                                     skrives inn som: </t>
        </r>
        <r>
          <rPr>
            <b/>
            <sz val="7"/>
            <color indexed="81"/>
            <rFont val="Arial"/>
            <family val="2"/>
          </rPr>
          <t>10260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Lengde- </t>
        </r>
        <r>
          <rPr>
            <sz val="7"/>
            <color indexed="81"/>
            <rFont val="Tahoma"/>
            <family val="2"/>
          </rPr>
          <t xml:space="preserve">Angis alltid i </t>
        </r>
        <r>
          <rPr>
            <i/>
            <sz val="7"/>
            <color indexed="81"/>
            <rFont val="Tahoma"/>
            <family val="2"/>
          </rPr>
          <t>hele</t>
        </r>
        <r>
          <rPr>
            <sz val="7"/>
            <color indexed="81"/>
            <rFont val="Tahoma"/>
            <family val="2"/>
          </rPr>
          <t xml:space="preserve"> cm.</t>
        </r>
        <r>
          <rPr>
            <b/>
            <sz val="7"/>
            <color indexed="81"/>
            <rFont val="Tahoma"/>
            <family val="2"/>
          </rPr>
          <t xml:space="preserve">
mål</t>
        </r>
        <r>
          <rPr>
            <sz val="7"/>
            <color indexed="81"/>
            <rFont val="Tahoma"/>
            <family val="2"/>
          </rPr>
          <t xml:space="preserve">:            Eks.: 1,86m skrives inn som </t>
        </r>
        <r>
          <rPr>
            <b/>
            <sz val="7"/>
            <color indexed="81"/>
            <rFont val="Tahoma"/>
            <family val="2"/>
          </rPr>
          <t xml:space="preserve">186
               </t>
        </r>
        <r>
          <rPr>
            <sz val="7"/>
            <color indexed="81"/>
            <rFont val="Tahoma"/>
            <family val="2"/>
          </rPr>
          <t xml:space="preserve">Eks.: 66,93m skrives inn som </t>
        </r>
        <r>
          <rPr>
            <b/>
            <sz val="7"/>
            <color indexed="81"/>
            <rFont val="Tahoma"/>
            <family val="2"/>
          </rPr>
          <t>6693</t>
        </r>
      </text>
    </comment>
    <comment ref="D3" authorId="0" shapeId="0" xr:uid="{9E686535-FD5C-4EBE-BC94-F2DD59023ED9}">
      <text>
        <r>
          <rPr>
            <b/>
            <sz val="7"/>
            <color indexed="81"/>
            <rFont val="Tahoma"/>
            <family val="2"/>
          </rPr>
          <t>Poeng</t>
        </r>
        <r>
          <rPr>
            <sz val="7"/>
            <color indexed="81"/>
            <rFont val="Tahoma"/>
            <family val="2"/>
          </rPr>
          <t xml:space="preserve"> beregnes automatisk p.g.lag av en bestemt algoritme (utarbeidet i 2003) og med utgangspunkt i det inntastede resultatet.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" authorId="0" shapeId="0" xr:uid="{7522A3B5-224F-4B8E-8BD6-B3FCE9973A47}">
      <text>
        <r>
          <rPr>
            <sz val="7"/>
            <color indexed="81"/>
            <rFont val="Arial"/>
            <family val="2"/>
          </rPr>
          <t xml:space="preserve">Angir evt. spørsmål om resultatets gyldighet, e.l.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IT-avdelingen</author>
  </authors>
  <commentList>
    <comment ref="B2" authorId="0" shapeId="0" xr:uid="{9D684ED5-B8B9-445E-9AE6-7C0BC9D766FA}">
      <text>
        <r>
          <rPr>
            <b/>
            <sz val="7"/>
            <color indexed="81"/>
            <rFont val="Arial"/>
            <family val="2"/>
          </rPr>
          <t>Nasjonal poengtabell</t>
        </r>
        <r>
          <rPr>
            <sz val="7"/>
            <color indexed="81"/>
            <rFont val="Arial"/>
            <family val="2"/>
          </rPr>
          <t xml:space="preserve"> for senior gjelder fra og med 2003.
Algoritmen er utarbeidet av Serieutvalget NFIF v/Stein Fossen og er i første rekke ment til bruk i NFIFs seriesystem.
For å hindre utilsiktede endringer i algoritmen er denne skjult og beskyttet i regnearket. Bare inntasting av </t>
        </r>
        <r>
          <rPr>
            <i/>
            <sz val="7"/>
            <color indexed="81"/>
            <rFont val="Arial"/>
            <family val="2"/>
          </rPr>
          <t>resultater</t>
        </r>
        <r>
          <rPr>
            <sz val="7"/>
            <color indexed="81"/>
            <rFont val="Arial"/>
            <family val="2"/>
          </rPr>
          <t xml:space="preserve"> er tillatt.
Kommentarer kan rettes til: odd.lahn-johannessen@nhh.no
</t>
        </r>
      </text>
    </comment>
    <comment ref="B3" authorId="0" shapeId="0" xr:uid="{638942C8-A10C-461A-A7A9-76A45DC13ACD}">
      <text>
        <r>
          <rPr>
            <b/>
            <sz val="7"/>
            <color indexed="81"/>
            <rFont val="Arial"/>
            <family val="2"/>
          </rPr>
          <t>Øvelses-</t>
        </r>
        <r>
          <rPr>
            <sz val="7"/>
            <color indexed="81"/>
            <rFont val="Arial"/>
            <family val="2"/>
          </rPr>
          <t xml:space="preserve">kolonnen angir alle gjeldende øvelser i seriesammenheng.
For å finne poeng for et gitt resultat må dette tastes inn i resultatfeltet til høyre for øvelsen. 
Legg merke til at elektroniske og manuelle tidsresultater har forskjellige øvelses-resultatfelter for de </t>
        </r>
        <r>
          <rPr>
            <i/>
            <sz val="7"/>
            <color indexed="81"/>
            <rFont val="Arial"/>
            <family val="2"/>
          </rPr>
          <t>korte</t>
        </r>
        <r>
          <rPr>
            <sz val="7"/>
            <color indexed="81"/>
            <rFont val="Arial"/>
            <family val="2"/>
          </rPr>
          <t xml:space="preserve"> løpene.
For de </t>
        </r>
        <r>
          <rPr>
            <i/>
            <sz val="7"/>
            <color indexed="81"/>
            <rFont val="Arial"/>
            <family val="2"/>
          </rPr>
          <t>lange</t>
        </r>
        <r>
          <rPr>
            <sz val="7"/>
            <color indexed="81"/>
            <rFont val="Arial"/>
            <family val="2"/>
          </rPr>
          <t xml:space="preserve"> løpene angis resultatet </t>
        </r>
        <r>
          <rPr>
            <i/>
            <sz val="7"/>
            <color indexed="81"/>
            <rFont val="Arial"/>
            <family val="2"/>
          </rPr>
          <t>alltid</t>
        </r>
        <r>
          <rPr>
            <sz val="7"/>
            <color indexed="81"/>
            <rFont val="Arial"/>
            <family val="2"/>
          </rPr>
          <t xml:space="preserve"> som om det skulle være </t>
        </r>
        <r>
          <rPr>
            <i/>
            <sz val="7"/>
            <color indexed="81"/>
            <rFont val="Arial"/>
            <family val="2"/>
          </rPr>
          <t>elektronisk</t>
        </r>
        <r>
          <rPr>
            <sz val="7"/>
            <color indexed="81"/>
            <rFont val="Arial"/>
            <family val="2"/>
          </rPr>
          <t xml:space="preserve"> registrert. (For</t>
        </r>
        <r>
          <rPr>
            <i/>
            <sz val="7"/>
            <color indexed="81"/>
            <rFont val="Arial"/>
            <family val="2"/>
          </rPr>
          <t xml:space="preserve"> manuelle</t>
        </r>
        <r>
          <rPr>
            <sz val="7"/>
            <color indexed="81"/>
            <rFont val="Arial"/>
            <family val="2"/>
          </rPr>
          <t xml:space="preserve"> tider tilføyes derfor </t>
        </r>
        <r>
          <rPr>
            <i/>
            <sz val="7"/>
            <color indexed="81"/>
            <rFont val="Arial"/>
            <family val="2"/>
          </rPr>
          <t>alltid</t>
        </r>
        <r>
          <rPr>
            <sz val="7"/>
            <color indexed="81"/>
            <rFont val="Arial"/>
            <family val="2"/>
          </rPr>
          <t xml:space="preserve"> sifferet 0.  Eksempelvis skal tiden 4:02.6 tastes som </t>
        </r>
        <r>
          <rPr>
            <b/>
            <sz val="7"/>
            <color indexed="81"/>
            <rFont val="Arial"/>
            <family val="2"/>
          </rPr>
          <t>4026</t>
        </r>
        <r>
          <rPr>
            <b/>
            <u/>
            <sz val="7"/>
            <color indexed="81"/>
            <rFont val="Arial"/>
            <family val="2"/>
          </rPr>
          <t>0</t>
        </r>
        <r>
          <rPr>
            <sz val="7"/>
            <color indexed="81"/>
            <rFont val="Arial"/>
            <family val="2"/>
          </rPr>
          <t>)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C3" authorId="0" shapeId="0" xr:uid="{210A8461-5EEF-40B2-AF49-F249C7E188C9}">
      <text>
        <r>
          <rPr>
            <b/>
            <sz val="7"/>
            <color indexed="81"/>
            <rFont val="Tahoma"/>
            <family val="2"/>
          </rPr>
          <t>Resultatet</t>
        </r>
        <r>
          <rPr>
            <sz val="7"/>
            <color indexed="81"/>
            <rFont val="Tahoma"/>
            <family val="2"/>
          </rPr>
          <t xml:space="preserve"> skal angis fortløpende, dvs. </t>
        </r>
        <r>
          <rPr>
            <b/>
            <i/>
            <sz val="7"/>
            <color indexed="81"/>
            <rFont val="Tahoma"/>
            <family val="2"/>
          </rPr>
          <t>uten</t>
        </r>
        <r>
          <rPr>
            <sz val="7"/>
            <color indexed="81"/>
            <rFont val="Tahoma"/>
            <family val="2"/>
          </rPr>
          <t xml:space="preserve"> skilletegn:
</t>
        </r>
        <r>
          <rPr>
            <b/>
            <sz val="7"/>
            <color indexed="81"/>
            <rFont val="Tahoma"/>
            <family val="2"/>
          </rPr>
          <t>Tid</t>
        </r>
        <r>
          <rPr>
            <sz val="7"/>
            <color indexed="81"/>
            <rFont val="Tahoma"/>
            <family val="2"/>
          </rPr>
          <t xml:space="preserve">:            Angis i min.-sek.-1/100 (evt. 1/10)-sek.:
 </t>
        </r>
        <r>
          <rPr>
            <sz val="7"/>
            <color indexed="81"/>
            <rFont val="Arial"/>
            <family val="2"/>
          </rPr>
          <t xml:space="preserve">                     Eks.: 11,3 (manuell tid) skrives inn som </t>
        </r>
        <r>
          <rPr>
            <b/>
            <sz val="7"/>
            <color indexed="81"/>
            <rFont val="Arial"/>
            <family val="2"/>
          </rPr>
          <t>113</t>
        </r>
        <r>
          <rPr>
            <sz val="7"/>
            <color indexed="81"/>
            <rFont val="Tahoma"/>
            <family val="2"/>
          </rPr>
          <t xml:space="preserve">
                      Eks.: 1:02.67 -&gt; </t>
        </r>
        <r>
          <rPr>
            <b/>
            <sz val="7"/>
            <color indexed="81"/>
            <rFont val="Tahoma"/>
            <family val="2"/>
          </rPr>
          <t>1</t>
        </r>
        <r>
          <rPr>
            <sz val="7"/>
            <color indexed="81"/>
            <rFont val="Tahoma"/>
            <family val="2"/>
          </rPr>
          <t xml:space="preserve"> min.</t>
        </r>
        <r>
          <rPr>
            <b/>
            <sz val="7"/>
            <color indexed="81"/>
            <rFont val="Tahoma"/>
            <family val="2"/>
          </rPr>
          <t xml:space="preserve"> 02 </t>
        </r>
        <r>
          <rPr>
            <sz val="7"/>
            <color indexed="81"/>
            <rFont val="Tahoma"/>
            <family val="2"/>
          </rPr>
          <t xml:space="preserve">sek. </t>
        </r>
        <r>
          <rPr>
            <b/>
            <sz val="7"/>
            <color indexed="81"/>
            <rFont val="Tahoma"/>
            <family val="2"/>
          </rPr>
          <t>67</t>
        </r>
        <r>
          <rPr>
            <sz val="7"/>
            <color indexed="81"/>
            <rFont val="Tahoma"/>
            <family val="2"/>
          </rPr>
          <t xml:space="preserve"> </t>
        </r>
        <r>
          <rPr>
            <i/>
            <sz val="7"/>
            <color indexed="81"/>
            <rFont val="Tahoma"/>
            <family val="2"/>
          </rPr>
          <t>1/100</t>
        </r>
        <r>
          <rPr>
            <sz val="7"/>
            <color indexed="81"/>
            <rFont val="Tahoma"/>
            <family val="2"/>
          </rPr>
          <t xml:space="preserve"> sek., skal
                                                     skrives inn som: </t>
        </r>
        <r>
          <rPr>
            <b/>
            <sz val="7"/>
            <color indexed="81"/>
            <rFont val="Tahoma"/>
            <family val="2"/>
          </rPr>
          <t xml:space="preserve">10267
 </t>
        </r>
        <r>
          <rPr>
            <b/>
            <sz val="7"/>
            <color indexed="81"/>
            <rFont val="Arial"/>
            <family val="2"/>
          </rPr>
          <t xml:space="preserve">     </t>
        </r>
        <r>
          <rPr>
            <b/>
            <sz val="6"/>
            <color indexed="81"/>
            <rFont val="Arial"/>
            <family val="2"/>
          </rPr>
          <t>NB!</t>
        </r>
        <r>
          <rPr>
            <b/>
            <sz val="7"/>
            <color indexed="81"/>
            <rFont val="Arial"/>
            <family val="2"/>
          </rPr>
          <t xml:space="preserve">  </t>
        </r>
        <r>
          <rPr>
            <sz val="7"/>
            <color indexed="81"/>
            <rFont val="Arial"/>
            <family val="2"/>
          </rPr>
          <t xml:space="preserve">Eks.: 1:02.6 -&gt; </t>
        </r>
        <r>
          <rPr>
            <b/>
            <sz val="7"/>
            <color indexed="81"/>
            <rFont val="Arial"/>
            <family val="2"/>
          </rPr>
          <t xml:space="preserve">1 min. 02 sek. 6 </t>
        </r>
        <r>
          <rPr>
            <i/>
            <sz val="7"/>
            <color indexed="81"/>
            <rFont val="Arial"/>
            <family val="2"/>
          </rPr>
          <t>1/10</t>
        </r>
        <r>
          <rPr>
            <sz val="7"/>
            <color indexed="81"/>
            <rFont val="Arial"/>
            <family val="2"/>
          </rPr>
          <t xml:space="preserve"> sek., skal
                                                     skrives inn som: </t>
        </r>
        <r>
          <rPr>
            <b/>
            <sz val="7"/>
            <color indexed="81"/>
            <rFont val="Arial"/>
            <family val="2"/>
          </rPr>
          <t>10260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Lengde- </t>
        </r>
        <r>
          <rPr>
            <sz val="7"/>
            <color indexed="81"/>
            <rFont val="Tahoma"/>
            <family val="2"/>
          </rPr>
          <t xml:space="preserve">Angis alltid i </t>
        </r>
        <r>
          <rPr>
            <i/>
            <sz val="7"/>
            <color indexed="81"/>
            <rFont val="Tahoma"/>
            <family val="2"/>
          </rPr>
          <t>hele</t>
        </r>
        <r>
          <rPr>
            <sz val="7"/>
            <color indexed="81"/>
            <rFont val="Tahoma"/>
            <family val="2"/>
          </rPr>
          <t xml:space="preserve"> cm.</t>
        </r>
        <r>
          <rPr>
            <b/>
            <sz val="7"/>
            <color indexed="81"/>
            <rFont val="Tahoma"/>
            <family val="2"/>
          </rPr>
          <t xml:space="preserve">
mål</t>
        </r>
        <r>
          <rPr>
            <sz val="7"/>
            <color indexed="81"/>
            <rFont val="Tahoma"/>
            <family val="2"/>
          </rPr>
          <t xml:space="preserve">:            Eks.: 1,86m skrives inn som </t>
        </r>
        <r>
          <rPr>
            <b/>
            <sz val="7"/>
            <color indexed="81"/>
            <rFont val="Tahoma"/>
            <family val="2"/>
          </rPr>
          <t xml:space="preserve">186
               </t>
        </r>
        <r>
          <rPr>
            <sz val="7"/>
            <color indexed="81"/>
            <rFont val="Tahoma"/>
            <family val="2"/>
          </rPr>
          <t xml:space="preserve">Eks.: 66,93m skrives inn som </t>
        </r>
        <r>
          <rPr>
            <b/>
            <sz val="7"/>
            <color indexed="81"/>
            <rFont val="Tahoma"/>
            <family val="2"/>
          </rPr>
          <t>6693</t>
        </r>
      </text>
    </comment>
    <comment ref="D3" authorId="0" shapeId="0" xr:uid="{DA481DFE-3C9B-42F4-8CFC-70D4D066293E}">
      <text>
        <r>
          <rPr>
            <b/>
            <sz val="7"/>
            <color indexed="81"/>
            <rFont val="Tahoma"/>
            <family val="2"/>
          </rPr>
          <t>Poeng</t>
        </r>
        <r>
          <rPr>
            <sz val="7"/>
            <color indexed="81"/>
            <rFont val="Tahoma"/>
            <family val="2"/>
          </rPr>
          <t xml:space="preserve"> beregnes automatisk p.g.lag av en bestemt algoritme (utarbeidet i 2003) og med utgangspunkt i det inntastede resultatet.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" authorId="0" shapeId="0" xr:uid="{1642D87F-005B-48FD-8448-36492F276815}">
      <text>
        <r>
          <rPr>
            <sz val="7"/>
            <color indexed="81"/>
            <rFont val="Arial"/>
            <family val="2"/>
          </rPr>
          <t xml:space="preserve">Angir evt. spørsmål om resultatets gyldighet, e.l.
</t>
        </r>
      </text>
    </comment>
  </commentList>
</comments>
</file>

<file path=xl/sharedStrings.xml><?xml version="1.0" encoding="utf-8"?>
<sst xmlns="http://schemas.openxmlformats.org/spreadsheetml/2006/main" count="176" uniqueCount="72">
  <si>
    <t>Øvelse</t>
  </si>
  <si>
    <t>60m</t>
  </si>
  <si>
    <t>100m</t>
  </si>
  <si>
    <t>200m</t>
  </si>
  <si>
    <t>400m</t>
  </si>
  <si>
    <t>800m</t>
  </si>
  <si>
    <t>1500m</t>
  </si>
  <si>
    <t>3000m</t>
  </si>
  <si>
    <t>5000m</t>
  </si>
  <si>
    <t>10000m</t>
  </si>
  <si>
    <t>Tresteg</t>
  </si>
  <si>
    <t>Stav</t>
  </si>
  <si>
    <t>Høyde</t>
  </si>
  <si>
    <t>Spyd</t>
  </si>
  <si>
    <t>Kule</t>
  </si>
  <si>
    <t>Diskos</t>
  </si>
  <si>
    <t>Slegge</t>
  </si>
  <si>
    <t>Lengde</t>
  </si>
  <si>
    <t>Kommentar</t>
  </si>
  <si>
    <t>110m h.</t>
  </si>
  <si>
    <t>400m h.</t>
  </si>
  <si>
    <t>3000m h.</t>
  </si>
  <si>
    <t>H.u.t.</t>
  </si>
  <si>
    <t>L.u.t.</t>
  </si>
  <si>
    <t>Elek.:</t>
  </si>
  <si>
    <t>Man:</t>
  </si>
  <si>
    <t>Man.:</t>
  </si>
  <si>
    <t>Nasjonal poengtabell for menn</t>
  </si>
  <si>
    <t>Resultat</t>
  </si>
  <si>
    <t>Poeng</t>
  </si>
  <si>
    <r>
      <t xml:space="preserve">100m     </t>
    </r>
    <r>
      <rPr>
        <sz val="8"/>
        <color indexed="18"/>
        <rFont val="Arial"/>
        <family val="2"/>
      </rPr>
      <t>el.tid</t>
    </r>
  </si>
  <si>
    <r>
      <t xml:space="preserve">100m     </t>
    </r>
    <r>
      <rPr>
        <sz val="8"/>
        <color indexed="18"/>
        <rFont val="Arial"/>
        <family val="2"/>
      </rPr>
      <t>man.tid</t>
    </r>
  </si>
  <si>
    <r>
      <t xml:space="preserve">200m     </t>
    </r>
    <r>
      <rPr>
        <sz val="8"/>
        <color indexed="18"/>
        <rFont val="Arial"/>
        <family val="2"/>
      </rPr>
      <t>el.tid</t>
    </r>
  </si>
  <si>
    <r>
      <t xml:space="preserve">200m     </t>
    </r>
    <r>
      <rPr>
        <sz val="8"/>
        <color indexed="18"/>
        <rFont val="Arial"/>
        <family val="2"/>
      </rPr>
      <t>man.tid</t>
    </r>
  </si>
  <si>
    <r>
      <t xml:space="preserve">400m     </t>
    </r>
    <r>
      <rPr>
        <sz val="8"/>
        <color indexed="18"/>
        <rFont val="Arial"/>
        <family val="2"/>
      </rPr>
      <t>el.tid</t>
    </r>
  </si>
  <si>
    <r>
      <t xml:space="preserve">400m     </t>
    </r>
    <r>
      <rPr>
        <sz val="8"/>
        <color indexed="18"/>
        <rFont val="Arial"/>
        <family val="2"/>
      </rPr>
      <t>man.tid</t>
    </r>
  </si>
  <si>
    <r>
      <t>800m</t>
    </r>
    <r>
      <rPr>
        <b/>
        <sz val="8"/>
        <color indexed="18"/>
        <rFont val="Arial"/>
        <family val="2"/>
      </rPr>
      <t xml:space="preserve">     </t>
    </r>
    <r>
      <rPr>
        <sz val="8"/>
        <color indexed="18"/>
        <rFont val="Arial"/>
        <family val="2"/>
      </rPr>
      <t>(el.tid)</t>
    </r>
  </si>
  <si>
    <r>
      <t>1500m</t>
    </r>
    <r>
      <rPr>
        <sz val="8"/>
        <color indexed="18"/>
        <rFont val="Arial"/>
        <family val="2"/>
      </rPr>
      <t xml:space="preserve">   (el.tid)</t>
    </r>
  </si>
  <si>
    <r>
      <t xml:space="preserve">3000m </t>
    </r>
    <r>
      <rPr>
        <sz val="8"/>
        <color indexed="18"/>
        <rFont val="Arial"/>
        <family val="2"/>
      </rPr>
      <t xml:space="preserve">  (el.tid)</t>
    </r>
  </si>
  <si>
    <r>
      <t xml:space="preserve">5000m </t>
    </r>
    <r>
      <rPr>
        <sz val="8"/>
        <color indexed="18"/>
        <rFont val="Arial"/>
        <family val="2"/>
      </rPr>
      <t xml:space="preserve">  (el.tid)</t>
    </r>
  </si>
  <si>
    <r>
      <t>10000m</t>
    </r>
    <r>
      <rPr>
        <sz val="8"/>
        <color indexed="18"/>
        <rFont val="Arial"/>
        <family val="2"/>
      </rPr>
      <t xml:space="preserve"> (el.tid)</t>
    </r>
  </si>
  <si>
    <r>
      <t>110mh</t>
    </r>
    <r>
      <rPr>
        <sz val="8"/>
        <color indexed="18"/>
        <rFont val="Arial"/>
        <family val="2"/>
      </rPr>
      <t xml:space="preserve">   el.tid</t>
    </r>
  </si>
  <si>
    <r>
      <t>110mh</t>
    </r>
    <r>
      <rPr>
        <sz val="8"/>
        <color indexed="18"/>
        <rFont val="Arial"/>
        <family val="2"/>
      </rPr>
      <t xml:space="preserve">   man.tid</t>
    </r>
  </si>
  <si>
    <r>
      <t>400mh</t>
    </r>
    <r>
      <rPr>
        <sz val="8"/>
        <color indexed="18"/>
        <rFont val="Arial"/>
        <family val="2"/>
      </rPr>
      <t xml:space="preserve">   el.tid</t>
    </r>
  </si>
  <si>
    <r>
      <t>400mh</t>
    </r>
    <r>
      <rPr>
        <sz val="8"/>
        <color indexed="18"/>
        <rFont val="Arial"/>
        <family val="2"/>
      </rPr>
      <t xml:space="preserve">   man.tid</t>
    </r>
  </si>
  <si>
    <r>
      <t xml:space="preserve">3000mh </t>
    </r>
    <r>
      <rPr>
        <sz val="8"/>
        <color indexed="18"/>
        <rFont val="Arial"/>
        <family val="2"/>
      </rPr>
      <t>(el.tid)</t>
    </r>
  </si>
  <si>
    <t>Høyde u t</t>
  </si>
  <si>
    <t>Lengde u t</t>
  </si>
  <si>
    <t>60m h.</t>
  </si>
  <si>
    <r>
      <t xml:space="preserve">60m       </t>
    </r>
    <r>
      <rPr>
        <sz val="8"/>
        <color indexed="18"/>
        <rFont val="Arial"/>
        <family val="2"/>
      </rPr>
      <t>el.tid</t>
    </r>
  </si>
  <si>
    <r>
      <t xml:space="preserve">3000m kapp.   </t>
    </r>
    <r>
      <rPr>
        <sz val="8"/>
        <color rgb="FF000080"/>
        <rFont val="Arial"/>
        <family val="2"/>
      </rPr>
      <t>(el.tid)</t>
    </r>
  </si>
  <si>
    <r>
      <t xml:space="preserve">5000m kapp.   </t>
    </r>
    <r>
      <rPr>
        <sz val="8"/>
        <color rgb="FF000080"/>
        <rFont val="Arial"/>
        <family val="2"/>
      </rPr>
      <t>(el.tid)</t>
    </r>
  </si>
  <si>
    <r>
      <t>10000m kapp.</t>
    </r>
    <r>
      <rPr>
        <i/>
        <sz val="8"/>
        <color rgb="FF000080"/>
        <rFont val="Arial"/>
        <family val="2"/>
      </rPr>
      <t xml:space="preserve"> </t>
    </r>
    <r>
      <rPr>
        <sz val="8"/>
        <color rgb="FF000080"/>
        <rFont val="Arial"/>
        <family val="2"/>
      </rPr>
      <t>man.tid</t>
    </r>
  </si>
  <si>
    <t>3000m kapp.</t>
  </si>
  <si>
    <t>5000m kapp.</t>
  </si>
  <si>
    <t>10000m kapp.</t>
  </si>
  <si>
    <t>Nasjonal poengtabell for kvinner</t>
  </si>
  <si>
    <t>100m h.</t>
  </si>
  <si>
    <r>
      <t>100mh</t>
    </r>
    <r>
      <rPr>
        <sz val="8"/>
        <color indexed="18"/>
        <rFont val="Arial"/>
        <family val="2"/>
      </rPr>
      <t xml:space="preserve">   el.tid</t>
    </r>
  </si>
  <si>
    <r>
      <t>100mh</t>
    </r>
    <r>
      <rPr>
        <sz val="8"/>
        <color indexed="18"/>
        <rFont val="Arial"/>
        <family val="2"/>
      </rPr>
      <t xml:space="preserve">   man.tid</t>
    </r>
  </si>
  <si>
    <r>
      <t>60mh</t>
    </r>
    <r>
      <rPr>
        <sz val="8"/>
        <color indexed="18"/>
        <rFont val="Arial"/>
        <family val="2"/>
      </rPr>
      <t xml:space="preserve">     el.tid</t>
    </r>
  </si>
  <si>
    <r>
      <t xml:space="preserve">      </t>
    </r>
    <r>
      <rPr>
        <i/>
        <sz val="10"/>
        <color indexed="12"/>
        <rFont val="Roman"/>
        <family val="1"/>
        <charset val="255"/>
      </rPr>
      <t xml:space="preserve"> Bergens Turn - Friidrett</t>
    </r>
  </si>
  <si>
    <r>
      <t xml:space="preserve">Resultater tastes inn som  fortløpende sifre, dvs. </t>
    </r>
    <r>
      <rPr>
        <b/>
        <i/>
        <sz val="8"/>
        <rFont val="Arial"/>
        <family val="2"/>
      </rPr>
      <t>UTEN</t>
    </r>
  </si>
  <si>
    <t>skilletegn!</t>
  </si>
  <si>
    <t>Fjern innhold i tabellen ved å merke aktuelt område (gult)</t>
  </si>
  <si>
    <t>og velge "Fjern innhold" eller ved å taste 0 i det enkelte</t>
  </si>
  <si>
    <t>resultatfelt.</t>
  </si>
  <si>
    <r>
      <t>Papirversjon</t>
    </r>
    <r>
      <rPr>
        <b/>
        <sz val="8"/>
        <rFont val="Arial"/>
        <family val="2"/>
      </rPr>
      <t xml:space="preserve"> av tabellen (menn+kvinner), tot. 117 sider, kan  </t>
    </r>
  </si>
  <si>
    <t>kjøpes ved henvendelse til:</t>
  </si>
  <si>
    <t>Odd M. Lahn-Johannessen, Washingtons v 13, 5019 Bergen.</t>
  </si>
  <si>
    <t>E-post: odd.lahn-johannessen@nhh.no</t>
  </si>
  <si>
    <t>Pris kr. 150 + porto.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</si>
</sst>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"/>
    <numFmt numFmtId="165" formatCode="0.0"/>
    <numFmt numFmtId="166" formatCode="[&gt;9999]##&quot;:&quot;##&quot;.&quot;##;[&gt;0]##&quot;.&quot;##;#"/>
    <numFmt numFmtId="167" formatCode="[&lt;=99999999]##_ ##_ ##_ ##;\(\+##\)_ ##_ ##_ ##_ ##"/>
    <numFmt numFmtId="168" formatCode="[&gt;0]#0&quot;.&quot;00;[=0]#;General"/>
    <numFmt numFmtId="169" formatCode="[&gt;99999]##&quot;:&quot;##&quot;:&quot;##&quot;.&quot;#;[&gt;0]##&quot;:&quot;##&quot;.&quot;#"/>
    <numFmt numFmtId="170" formatCode="0.0000"/>
    <numFmt numFmtId="171" formatCode="[&gt;599]##&quot;:&quot;##&quot;.&quot;#;[&gt;0]##&quot;.&quot;#;#"/>
    <numFmt numFmtId="172" formatCode="##&quot;.&quot;#"/>
    <numFmt numFmtId="173" formatCode="[&gt;999999]##&quot;:&quot;##&quot;:&quot;##&quot;.&quot;##;[&gt;0]##&quot;:&quot;##&quot;.&quot;##"/>
    <numFmt numFmtId="174" formatCode="[&gt;999]##&quot;:&quot;#&quot;.&quot;##;[&gt;0]##&quot;.&quot;#;#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u/>
      <sz val="7"/>
      <name val="Arial"/>
      <family val="2"/>
    </font>
    <font>
      <sz val="7"/>
      <name val="Arial"/>
      <family val="2"/>
    </font>
    <font>
      <sz val="9"/>
      <color indexed="56"/>
      <name val="Arial"/>
      <family val="2"/>
    </font>
    <font>
      <b/>
      <u/>
      <sz val="7"/>
      <name val="Arial"/>
      <family val="2"/>
    </font>
    <font>
      <sz val="7"/>
      <color indexed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color indexed="81"/>
      <name val="Arial"/>
      <family val="2"/>
    </font>
    <font>
      <b/>
      <sz val="12"/>
      <color indexed="56"/>
      <name val="Arial"/>
      <family val="2"/>
    </font>
    <font>
      <b/>
      <sz val="9"/>
      <color indexed="56"/>
      <name val="Arial"/>
      <family val="2"/>
    </font>
    <font>
      <b/>
      <i/>
      <sz val="8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7"/>
      <color indexed="81"/>
      <name val="Arial"/>
      <family val="2"/>
    </font>
    <font>
      <i/>
      <sz val="7"/>
      <color indexed="81"/>
      <name val="Arial"/>
      <family val="2"/>
    </font>
    <font>
      <b/>
      <u/>
      <sz val="7"/>
      <color indexed="81"/>
      <name val="Arial"/>
      <family val="2"/>
    </font>
    <font>
      <sz val="7"/>
      <color indexed="81"/>
      <name val="Tahoma"/>
      <family val="2"/>
    </font>
    <font>
      <b/>
      <sz val="7"/>
      <color indexed="81"/>
      <name val="Tahoma"/>
      <family val="2"/>
    </font>
    <font>
      <b/>
      <i/>
      <sz val="7"/>
      <color indexed="81"/>
      <name val="Tahoma"/>
      <family val="2"/>
    </font>
    <font>
      <i/>
      <sz val="7"/>
      <color indexed="81"/>
      <name val="Tahoma"/>
      <family val="2"/>
    </font>
    <font>
      <b/>
      <sz val="6"/>
      <color indexed="81"/>
      <name val="Arial"/>
      <family val="2"/>
    </font>
    <font>
      <sz val="8"/>
      <color indexed="81"/>
      <name val="Tahoma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8"/>
      <color rgb="FF000080"/>
      <name val="Arial"/>
      <family val="2"/>
    </font>
    <font>
      <sz val="8"/>
      <color rgb="FF000080"/>
      <name val="Arial"/>
      <family val="2"/>
    </font>
    <font>
      <b/>
      <u/>
      <sz val="7"/>
      <color theme="1"/>
      <name val="Arial"/>
      <family val="2"/>
    </font>
    <font>
      <sz val="7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Roman"/>
      <family val="1"/>
      <charset val="255"/>
    </font>
    <font>
      <i/>
      <sz val="10"/>
      <color indexed="12"/>
      <name val="Roman"/>
      <family val="1"/>
      <charset val="255"/>
    </font>
    <font>
      <sz val="10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2" fontId="2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1" fontId="4" fillId="0" borderId="0" xfId="0" applyNumberFormat="1" applyFont="1"/>
    <xf numFmtId="0" fontId="6" fillId="0" borderId="0" xfId="0" applyFont="1"/>
    <xf numFmtId="0" fontId="2" fillId="0" borderId="0" xfId="0" applyFont="1"/>
    <xf numFmtId="164" fontId="6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9" fillId="3" borderId="6" xfId="0" applyFont="1" applyFill="1" applyBorder="1" applyAlignment="1">
      <alignment horizontal="right"/>
    </xf>
    <xf numFmtId="166" fontId="9" fillId="2" borderId="4" xfId="0" applyNumberFormat="1" applyFont="1" applyFill="1" applyBorder="1" applyAlignment="1" applyProtection="1">
      <alignment horizontal="right"/>
      <protection locked="0"/>
    </xf>
    <xf numFmtId="167" fontId="9" fillId="0" borderId="0" xfId="0" applyNumberFormat="1" applyFont="1" applyAlignment="1">
      <alignment horizontal="right"/>
    </xf>
    <xf numFmtId="164" fontId="9" fillId="4" borderId="0" xfId="0" applyNumberFormat="1" applyFont="1" applyFill="1" applyAlignment="1">
      <alignment horizontal="right"/>
    </xf>
    <xf numFmtId="0" fontId="9" fillId="3" borderId="4" xfId="0" applyFont="1" applyFill="1" applyBorder="1" applyAlignment="1">
      <alignment horizontal="right"/>
    </xf>
    <xf numFmtId="168" fontId="9" fillId="2" borderId="4" xfId="0" applyNumberFormat="1" applyFont="1" applyFill="1" applyBorder="1" applyAlignment="1" applyProtection="1">
      <alignment horizontal="right"/>
      <protection locked="0"/>
    </xf>
    <xf numFmtId="0" fontId="25" fillId="0" borderId="0" xfId="0" applyFont="1"/>
    <xf numFmtId="164" fontId="25" fillId="0" borderId="0" xfId="0" applyNumberFormat="1" applyFont="1"/>
    <xf numFmtId="0" fontId="3" fillId="0" borderId="0" xfId="0" applyFont="1" applyBorder="1"/>
    <xf numFmtId="0" fontId="2" fillId="0" borderId="0" xfId="0" applyFont="1" applyBorder="1"/>
    <xf numFmtId="0" fontId="26" fillId="0" borderId="0" xfId="0" applyFont="1" applyBorder="1"/>
    <xf numFmtId="164" fontId="2" fillId="0" borderId="0" xfId="0" applyNumberFormat="1" applyFont="1" applyBorder="1" applyAlignment="1">
      <alignment horizontal="left"/>
    </xf>
    <xf numFmtId="0" fontId="9" fillId="3" borderId="11" xfId="0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1" fillId="0" borderId="13" xfId="0" applyFont="1" applyBorder="1"/>
    <xf numFmtId="164" fontId="13" fillId="0" borderId="10" xfId="0" applyNumberFormat="1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left" vertical="center"/>
    </xf>
    <xf numFmtId="169" fontId="9" fillId="2" borderId="4" xfId="0" applyNumberFormat="1" applyFont="1" applyFill="1" applyBorder="1" applyAlignment="1" applyProtection="1">
      <alignment horizontal="right"/>
      <protection locked="0"/>
    </xf>
    <xf numFmtId="2" fontId="25" fillId="0" borderId="0" xfId="0" applyNumberFormat="1" applyFont="1"/>
    <xf numFmtId="0" fontId="29" fillId="0" borderId="0" xfId="0" applyFont="1"/>
    <xf numFmtId="164" fontId="0" fillId="0" borderId="0" xfId="0" applyNumberFormat="1"/>
    <xf numFmtId="0" fontId="0" fillId="0" borderId="0" xfId="0"/>
    <xf numFmtId="170" fontId="2" fillId="0" borderId="0" xfId="0" applyNumberFormat="1" applyFont="1"/>
    <xf numFmtId="0" fontId="25" fillId="0" borderId="0" xfId="0" applyFont="1" applyBorder="1"/>
    <xf numFmtId="164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Border="1"/>
    <xf numFmtId="0" fontId="30" fillId="0" borderId="2" xfId="0" applyFont="1" applyBorder="1" applyAlignment="1">
      <alignment horizontal="center"/>
    </xf>
    <xf numFmtId="171" fontId="9" fillId="2" borderId="4" xfId="0" applyNumberFormat="1" applyFont="1" applyFill="1" applyBorder="1" applyAlignment="1" applyProtection="1">
      <alignment horizontal="right"/>
      <protection locked="0"/>
    </xf>
    <xf numFmtId="172" fontId="9" fillId="2" borderId="4" xfId="0" applyNumberFormat="1" applyFont="1" applyFill="1" applyBorder="1" applyAlignment="1" applyProtection="1">
      <alignment horizontal="right"/>
      <protection locked="0"/>
    </xf>
    <xf numFmtId="173" fontId="9" fillId="2" borderId="4" xfId="0" applyNumberFormat="1" applyFont="1" applyFill="1" applyBorder="1" applyAlignment="1" applyProtection="1">
      <alignment horizontal="right"/>
      <protection locked="0"/>
    </xf>
    <xf numFmtId="174" fontId="9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31" fillId="0" borderId="0" xfId="0" applyFont="1"/>
    <xf numFmtId="164" fontId="13" fillId="0" borderId="5" xfId="0" applyNumberFormat="1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0" fillId="0" borderId="0" xfId="0" applyAlignment="1">
      <alignment horizontal="right"/>
    </xf>
    <xf numFmtId="0" fontId="33" fillId="0" borderId="0" xfId="0" applyFont="1"/>
    <xf numFmtId="0" fontId="35" fillId="0" borderId="0" xfId="0" applyFont="1"/>
    <xf numFmtId="0" fontId="32" fillId="0" borderId="0" xfId="0" applyFont="1"/>
    <xf numFmtId="0" fontId="36" fillId="0" borderId="0" xfId="0" applyFont="1"/>
    <xf numFmtId="164" fontId="13" fillId="0" borderId="8" xfId="0" applyNumberFormat="1" applyFont="1" applyBorder="1" applyAlignment="1">
      <alignment horizontal="left" vertical="center"/>
    </xf>
    <xf numFmtId="166" fontId="9" fillId="2" borderId="15" xfId="0" applyNumberFormat="1" applyFont="1" applyFill="1" applyBorder="1" applyAlignment="1" applyProtection="1">
      <alignment horizontal="right"/>
      <protection locked="0"/>
    </xf>
    <xf numFmtId="0" fontId="9" fillId="3" borderId="15" xfId="0" applyFont="1" applyFill="1" applyBorder="1" applyAlignment="1">
      <alignment horizontal="right"/>
    </xf>
    <xf numFmtId="164" fontId="4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64" fontId="13" fillId="0" borderId="9" xfId="0" applyNumberFormat="1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107</xdr:col>
          <xdr:colOff>0</xdr:colOff>
          <xdr:row>4</xdr:row>
          <xdr:rowOff>6350</xdr:rowOff>
        </xdr:from>
        <xdr:to>
          <xdr:col>108</xdr:col>
          <xdr:colOff>228600</xdr:colOff>
          <xdr:row>9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00FF" mc:Ignorable="a14" a14:legacySpreadsheetColorIndex="12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107</xdr:col>
          <xdr:colOff>0</xdr:colOff>
          <xdr:row>4</xdr:row>
          <xdr:rowOff>6350</xdr:rowOff>
        </xdr:from>
        <xdr:to>
          <xdr:col>108</xdr:col>
          <xdr:colOff>228600</xdr:colOff>
          <xdr:row>9</xdr:row>
          <xdr:rowOff>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00FF" mc:Ignorable="a14" a14:legacySpreadsheetColorIndex="12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63"/>
  <sheetViews>
    <sheetView showRowColHeaders="0" tabSelected="1" zoomScaleNormal="100" workbookViewId="0"/>
  </sheetViews>
  <sheetFormatPr baseColWidth="10" defaultRowHeight="14.5" x14ac:dyDescent="0.35"/>
  <cols>
    <col min="1" max="1" width="6.26953125" style="1" customWidth="1"/>
    <col min="2" max="2" width="17.6328125" style="1" customWidth="1"/>
    <col min="3" max="3" width="10.90625" style="1"/>
    <col min="4" max="4" width="8.81640625" style="1" customWidth="1"/>
    <col min="5" max="5" width="10.90625" style="1"/>
    <col min="6" max="8" width="10.90625" style="1" hidden="1" customWidth="1"/>
    <col min="9" max="9" width="11.26953125" style="1" hidden="1" customWidth="1"/>
    <col min="10" max="10" width="12.26953125" style="1" hidden="1" customWidth="1"/>
    <col min="11" max="106" width="10.90625" style="1" hidden="1" customWidth="1"/>
    <col min="107" max="111" width="10.90625" style="1" customWidth="1"/>
    <col min="112" max="16384" width="10.90625" style="1"/>
  </cols>
  <sheetData>
    <row r="1" spans="1:114" ht="12.5" customHeight="1" x14ac:dyDescent="0.35"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52"/>
      <c r="T1" s="52"/>
      <c r="U1" s="52"/>
      <c r="V1" s="52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52"/>
      <c r="AQ1" s="52"/>
      <c r="AR1" s="52"/>
      <c r="AS1" s="52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</row>
    <row r="2" spans="1:114" ht="18" customHeight="1" x14ac:dyDescent="0.35">
      <c r="A2" s="2"/>
      <c r="B2" s="83" t="s">
        <v>27</v>
      </c>
      <c r="C2" s="83"/>
      <c r="D2" s="83"/>
      <c r="E2" s="83"/>
      <c r="F2" s="3"/>
      <c r="G2" s="4"/>
      <c r="H2" s="36"/>
      <c r="I2" s="4"/>
      <c r="J2" s="4"/>
      <c r="K2" s="5"/>
      <c r="L2" s="5"/>
      <c r="M2" s="4"/>
      <c r="N2" s="4"/>
      <c r="O2" s="4"/>
      <c r="P2" s="4"/>
      <c r="Q2" s="4"/>
      <c r="R2" s="5"/>
      <c r="S2" s="4"/>
      <c r="T2" s="5"/>
      <c r="U2" s="4"/>
      <c r="V2" s="5"/>
      <c r="W2" s="4"/>
      <c r="X2" s="5"/>
      <c r="Y2" s="4"/>
      <c r="Z2" s="5"/>
      <c r="AA2" s="4"/>
      <c r="AB2" s="5"/>
      <c r="AC2" s="4"/>
      <c r="AD2" s="4"/>
      <c r="AE2" s="11"/>
      <c r="AF2" s="5"/>
      <c r="AG2" s="4"/>
      <c r="AH2" s="4"/>
      <c r="AI2" s="4"/>
      <c r="AJ2" s="5"/>
      <c r="AK2" s="4"/>
      <c r="AL2" s="4"/>
      <c r="AM2" s="11"/>
      <c r="AN2" s="5"/>
      <c r="AO2" s="4"/>
      <c r="AP2" s="36"/>
      <c r="AQ2" s="37"/>
      <c r="AR2" s="37"/>
      <c r="AS2" s="36"/>
      <c r="AT2" s="4"/>
      <c r="AU2" s="4"/>
      <c r="AV2" s="5"/>
      <c r="AW2" s="4"/>
      <c r="AX2" s="4"/>
      <c r="AY2" s="4"/>
      <c r="AZ2" s="35"/>
      <c r="BA2" s="11"/>
      <c r="BB2" s="4"/>
      <c r="BC2" s="5"/>
      <c r="BD2" s="35"/>
      <c r="BE2" s="4"/>
      <c r="BF2" s="4"/>
      <c r="BG2" s="13"/>
      <c r="BH2" s="13"/>
      <c r="BI2" s="4"/>
      <c r="BJ2" s="4"/>
      <c r="BK2" s="13"/>
      <c r="BL2" s="13"/>
      <c r="BM2" s="4"/>
      <c r="BN2" s="4"/>
      <c r="BO2" s="13"/>
      <c r="BP2" s="13"/>
      <c r="BQ2" s="4"/>
      <c r="BR2" s="4"/>
      <c r="BS2" s="13"/>
      <c r="BT2" s="13"/>
      <c r="BU2" s="4"/>
      <c r="BV2" s="4"/>
      <c r="BW2" s="13"/>
      <c r="BX2" s="13"/>
      <c r="BY2" s="23"/>
      <c r="BZ2" s="4"/>
      <c r="CA2" s="13"/>
      <c r="CB2" s="13"/>
      <c r="CC2" s="23"/>
      <c r="CD2" s="4"/>
      <c r="CE2" s="13"/>
      <c r="CF2" s="13"/>
      <c r="CG2" s="23"/>
      <c r="CH2" s="4"/>
      <c r="CI2" s="13"/>
      <c r="CJ2" s="13"/>
      <c r="CK2" s="23"/>
      <c r="CL2" s="4"/>
      <c r="CM2" s="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</row>
    <row r="3" spans="1:114" ht="12.5" customHeight="1" thickBot="1" x14ac:dyDescent="0.4">
      <c r="A3" s="2"/>
      <c r="B3" s="80" t="s">
        <v>0</v>
      </c>
      <c r="C3" s="81" t="s">
        <v>28</v>
      </c>
      <c r="D3" s="81" t="s">
        <v>29</v>
      </c>
      <c r="E3" s="82" t="s">
        <v>18</v>
      </c>
      <c r="G3" s="10" t="s">
        <v>1</v>
      </c>
      <c r="H3" s="34"/>
      <c r="I3" s="34"/>
      <c r="J3" s="3"/>
      <c r="K3" s="10" t="s">
        <v>2</v>
      </c>
      <c r="L3" s="11"/>
      <c r="M3" s="11"/>
      <c r="N3" s="11"/>
      <c r="O3" s="12" t="s">
        <v>3</v>
      </c>
      <c r="P3" s="13"/>
      <c r="Q3" s="11"/>
      <c r="R3" s="11"/>
      <c r="S3" s="10" t="s">
        <v>4</v>
      </c>
      <c r="T3" s="11"/>
      <c r="U3" s="11"/>
      <c r="V3" s="13"/>
      <c r="W3" s="12" t="s">
        <v>5</v>
      </c>
      <c r="X3" s="13"/>
      <c r="Y3" s="11"/>
      <c r="Z3" s="13"/>
      <c r="AA3" s="10" t="s">
        <v>6</v>
      </c>
      <c r="AB3" s="12"/>
      <c r="AC3" s="11"/>
      <c r="AD3" s="13"/>
      <c r="AE3" s="10" t="s">
        <v>7</v>
      </c>
      <c r="AF3" s="12"/>
      <c r="AG3" s="11"/>
      <c r="AH3" s="11"/>
      <c r="AI3" s="10" t="s">
        <v>8</v>
      </c>
      <c r="AJ3" s="12"/>
      <c r="AK3" s="11"/>
      <c r="AL3" s="11"/>
      <c r="AM3" s="10" t="s">
        <v>9</v>
      </c>
      <c r="AN3" s="12"/>
      <c r="AO3" s="11"/>
      <c r="AP3" s="37"/>
      <c r="AQ3" s="38" t="s">
        <v>48</v>
      </c>
      <c r="AR3" s="52"/>
      <c r="AS3" s="52"/>
      <c r="AT3" s="34"/>
      <c r="AU3" s="10" t="s">
        <v>19</v>
      </c>
      <c r="AV3" s="12"/>
      <c r="AW3" s="11"/>
      <c r="AX3" s="11"/>
      <c r="AY3" s="10" t="s">
        <v>20</v>
      </c>
      <c r="AZ3" s="12"/>
      <c r="BA3" s="11"/>
      <c r="BB3" s="11"/>
      <c r="BC3" s="10" t="s">
        <v>21</v>
      </c>
      <c r="BD3" s="13"/>
      <c r="BE3" s="11"/>
      <c r="BF3" s="11"/>
      <c r="BG3" s="10" t="s">
        <v>12</v>
      </c>
      <c r="BH3" s="35"/>
      <c r="BI3" s="11"/>
      <c r="BJ3" s="11"/>
      <c r="BK3" s="12" t="s">
        <v>22</v>
      </c>
      <c r="BL3" s="35"/>
      <c r="BM3" s="11"/>
      <c r="BN3" s="11"/>
      <c r="BO3" s="12" t="s">
        <v>11</v>
      </c>
      <c r="BP3" s="13"/>
      <c r="BQ3" s="11"/>
      <c r="BR3" s="11"/>
      <c r="BS3" s="12" t="s">
        <v>17</v>
      </c>
      <c r="BT3" s="13"/>
      <c r="BU3" s="11"/>
      <c r="BV3" s="11"/>
      <c r="BW3" s="12" t="s">
        <v>23</v>
      </c>
      <c r="BX3" s="13"/>
      <c r="BY3" s="11"/>
      <c r="BZ3" s="11"/>
      <c r="CA3" s="12" t="s">
        <v>10</v>
      </c>
      <c r="CB3" s="13"/>
      <c r="CC3" s="11"/>
      <c r="CD3" s="11"/>
      <c r="CE3" s="12" t="s">
        <v>14</v>
      </c>
      <c r="CF3" s="13"/>
      <c r="CG3" s="34"/>
      <c r="CH3" s="11"/>
      <c r="CI3" s="12" t="s">
        <v>15</v>
      </c>
      <c r="CJ3" s="13"/>
      <c r="CK3" s="34"/>
      <c r="CL3" s="11"/>
      <c r="CM3" s="12" t="s">
        <v>16</v>
      </c>
      <c r="CN3" s="13"/>
      <c r="CO3" s="34"/>
      <c r="CP3" s="11"/>
      <c r="CQ3" s="12" t="s">
        <v>13</v>
      </c>
      <c r="CR3" s="13"/>
      <c r="CS3" s="34"/>
      <c r="CT3" s="11"/>
      <c r="CU3" s="48" t="s">
        <v>54</v>
      </c>
      <c r="CV3" s="34"/>
      <c r="CW3" s="34"/>
      <c r="CX3" s="34"/>
      <c r="CY3" s="48" t="s">
        <v>55</v>
      </c>
      <c r="CZ3" s="34"/>
      <c r="DA3" s="34"/>
      <c r="DB3" s="34"/>
      <c r="DC3" s="34"/>
      <c r="DD3" s="34"/>
      <c r="DE3" s="34"/>
      <c r="DF3" s="34"/>
      <c r="DG3" s="34"/>
    </row>
    <row r="4" spans="1:114" ht="12.5" customHeight="1" x14ac:dyDescent="0.35">
      <c r="A4" s="2"/>
      <c r="B4" s="75" t="s">
        <v>49</v>
      </c>
      <c r="C4" s="29"/>
      <c r="D4" s="28" t="str">
        <f>IF(J5&gt;=0,J9,"")</f>
        <v/>
      </c>
      <c r="E4" s="20" t="str">
        <f>IF(J5=1,"Feil i resultat?",IF(J9=J10,"",""))</f>
        <v/>
      </c>
      <c r="F4" s="3">
        <f>C4/100</f>
        <v>0</v>
      </c>
      <c r="G4" s="14">
        <v>-100000</v>
      </c>
      <c r="H4" s="34"/>
      <c r="I4" s="34"/>
      <c r="J4" s="16" t="s">
        <v>24</v>
      </c>
      <c r="K4" s="14">
        <v>-100000</v>
      </c>
      <c r="L4" s="11"/>
      <c r="M4" s="15"/>
      <c r="N4" s="16" t="s">
        <v>24</v>
      </c>
      <c r="O4" s="17">
        <v>-100000</v>
      </c>
      <c r="P4" s="13"/>
      <c r="Q4" s="15"/>
      <c r="R4" s="16" t="s">
        <v>24</v>
      </c>
      <c r="S4" s="14">
        <v>-100000</v>
      </c>
      <c r="T4" s="11"/>
      <c r="U4" s="11"/>
      <c r="V4" s="18" t="s">
        <v>24</v>
      </c>
      <c r="W4" s="14">
        <v>-100000</v>
      </c>
      <c r="X4" s="19"/>
      <c r="Y4" s="15"/>
      <c r="Z4" s="19" t="s">
        <v>24</v>
      </c>
      <c r="AA4" s="14">
        <v>-100000</v>
      </c>
      <c r="AB4" s="19"/>
      <c r="AC4" s="15"/>
      <c r="AD4" s="19" t="s">
        <v>24</v>
      </c>
      <c r="AE4" s="14">
        <v>-100000</v>
      </c>
      <c r="AF4" s="53"/>
      <c r="AG4" s="15"/>
      <c r="AH4" s="19" t="s">
        <v>24</v>
      </c>
      <c r="AI4" s="14">
        <v>-100000</v>
      </c>
      <c r="AJ4" s="13"/>
      <c r="AK4" s="15"/>
      <c r="AL4" s="19" t="s">
        <v>24</v>
      </c>
      <c r="AM4" s="14">
        <v>-100000</v>
      </c>
      <c r="AN4" s="13"/>
      <c r="AO4" s="15"/>
      <c r="AP4" s="39" t="s">
        <v>24</v>
      </c>
      <c r="AQ4" s="14">
        <v>-100000</v>
      </c>
      <c r="AR4" s="34"/>
      <c r="AS4" s="34"/>
      <c r="AT4" s="19" t="s">
        <v>24</v>
      </c>
      <c r="AU4" s="14">
        <v>-100000</v>
      </c>
      <c r="AV4" s="13"/>
      <c r="AW4" s="15"/>
      <c r="AX4" s="18" t="s">
        <v>24</v>
      </c>
      <c r="AY4" s="14">
        <v>-100000</v>
      </c>
      <c r="AZ4" s="13"/>
      <c r="BA4" s="15"/>
      <c r="BB4" s="18" t="s">
        <v>24</v>
      </c>
      <c r="BC4" s="14">
        <v>-100000</v>
      </c>
      <c r="BD4" s="13"/>
      <c r="BE4" s="15"/>
      <c r="BF4" s="18"/>
      <c r="BG4" s="14">
        <v>-100000</v>
      </c>
      <c r="BH4" s="35"/>
      <c r="BI4" s="11"/>
      <c r="BJ4" s="15"/>
      <c r="BK4" s="14">
        <v>-100000</v>
      </c>
      <c r="BL4" s="35"/>
      <c r="BM4" s="15"/>
      <c r="BN4" s="15"/>
      <c r="BO4" s="14">
        <v>-100000</v>
      </c>
      <c r="BP4" s="13"/>
      <c r="BQ4" s="15"/>
      <c r="BR4" s="15"/>
      <c r="BS4" s="14">
        <v>-100000</v>
      </c>
      <c r="BT4" s="13"/>
      <c r="BU4" s="15"/>
      <c r="BV4" s="15"/>
      <c r="BW4" s="14">
        <v>-100000</v>
      </c>
      <c r="BX4" s="13"/>
      <c r="BY4" s="15"/>
      <c r="BZ4" s="15"/>
      <c r="CA4" s="14">
        <v>-100000</v>
      </c>
      <c r="CB4" s="13"/>
      <c r="CC4" s="15"/>
      <c r="CD4" s="15"/>
      <c r="CE4" s="14">
        <v>-100000</v>
      </c>
      <c r="CF4" s="13"/>
      <c r="CG4" s="23"/>
      <c r="CH4" s="15"/>
      <c r="CI4" s="14">
        <v>-100000</v>
      </c>
      <c r="CJ4" s="13"/>
      <c r="CK4" s="23"/>
      <c r="CL4" s="15"/>
      <c r="CM4" s="14">
        <v>-100000</v>
      </c>
      <c r="CN4" s="13"/>
      <c r="CO4" s="23"/>
      <c r="CP4" s="15"/>
      <c r="CQ4" s="14">
        <v>-100000</v>
      </c>
      <c r="CR4" s="13"/>
      <c r="CS4" s="23"/>
      <c r="CT4" s="15"/>
      <c r="CU4" s="14">
        <v>-100000</v>
      </c>
      <c r="CV4" s="34"/>
      <c r="CW4" s="34"/>
      <c r="CX4" s="34"/>
      <c r="CY4" s="14">
        <v>-100000</v>
      </c>
      <c r="CZ4" s="34"/>
      <c r="DA4" s="34"/>
      <c r="DB4" s="34"/>
      <c r="DC4" s="34"/>
      <c r="DD4" s="64"/>
      <c r="DE4" s="65"/>
      <c r="DF4" s="65"/>
      <c r="DG4" s="65"/>
      <c r="DH4" s="65"/>
    </row>
    <row r="5" spans="1:114" ht="12.5" customHeight="1" x14ac:dyDescent="0.35">
      <c r="A5" s="2"/>
      <c r="B5" s="75" t="s">
        <v>30</v>
      </c>
      <c r="C5" s="29"/>
      <c r="D5" s="40" t="str">
        <f>IF(N5&gt;=0,N9,"")</f>
        <v/>
      </c>
      <c r="E5" s="20" t="str">
        <f>IF(N5=1,"Feil i resultat?",IF(N9=N10,"","Inkonsistent."))</f>
        <v/>
      </c>
      <c r="F5" s="41">
        <f>C5/100</f>
        <v>0</v>
      </c>
      <c r="G5" s="34">
        <v>0</v>
      </c>
      <c r="H5" s="35">
        <v>8.3000000000000004E-2</v>
      </c>
      <c r="I5" s="34"/>
      <c r="J5" s="14">
        <f>IF(F4="",-1,IF(F4&lt;0,-1,IF(F4=0,-1,IF(F4&lt;6.18,1,IF(F4&gt;10.1,1,0)))))</f>
        <v>-1</v>
      </c>
      <c r="K5" s="22">
        <v>0</v>
      </c>
      <c r="L5" s="14">
        <v>0.13500000000000001</v>
      </c>
      <c r="M5" s="14"/>
      <c r="N5" s="14">
        <f>IF(F5="",-1,IF(F5&lt;0,-1,IF(F5=0,-1,IF(F5&lt;9.5,1,IF(F5&gt;16.07,1,0)))))</f>
        <v>-1</v>
      </c>
      <c r="O5" s="13">
        <v>0</v>
      </c>
      <c r="P5" s="13">
        <v>0.26800000000000002</v>
      </c>
      <c r="Q5" s="14"/>
      <c r="R5" s="14">
        <f>IF(F7="",-1,IF(F7&lt;0,-1,IF(F7=0,-1,IF(F7&lt;18.95,1,IF(F7&gt;34.41,1,0)))))</f>
        <v>-1</v>
      </c>
      <c r="S5" s="22">
        <v>0</v>
      </c>
      <c r="T5" s="13">
        <v>0.59399999999999997</v>
      </c>
      <c r="U5" s="14"/>
      <c r="V5" s="14">
        <f>IF(F9="",-1,IF(F9&lt;0,-1,IF(F9=0,-1,IF(F9&lt;42,1,IF(F9&gt;78.28,1,0)))))</f>
        <v>-1</v>
      </c>
      <c r="W5" s="22">
        <v>0</v>
      </c>
      <c r="X5" s="13">
        <v>1.37</v>
      </c>
      <c r="Y5" s="14"/>
      <c r="Z5" s="17">
        <f>IF(F11="",-1,IF(F11&lt;0,-1,IF(F11=0,-1,IF(F11&lt;98.4,1,IF(F11&gt;184.67,1,0)))))</f>
        <v>-1</v>
      </c>
      <c r="AA5" s="22">
        <v>0</v>
      </c>
      <c r="AB5" s="13">
        <v>2.8</v>
      </c>
      <c r="AC5" s="14"/>
      <c r="AD5" s="17">
        <f>IF(F12="",-1,IF(F12&lt;0,-1,IF(F12=0,-1,IF(F12&lt;200.5,1,IF(F12&gt;388.57,1,0)))))</f>
        <v>-1</v>
      </c>
      <c r="AE5" s="22">
        <v>0</v>
      </c>
      <c r="AF5" s="13">
        <v>6</v>
      </c>
      <c r="AG5" s="14"/>
      <c r="AH5" s="17">
        <f>IF(F13="",-1,IF(F13&lt;0,-1,IF(F13=0,-1,IF(F13&lt;428,1,IF(F13&gt;860.23,1,0)))))</f>
        <v>-1</v>
      </c>
      <c r="AI5" s="22">
        <v>0</v>
      </c>
      <c r="AJ5" s="13">
        <v>10.3</v>
      </c>
      <c r="AK5" s="14"/>
      <c r="AL5" s="17">
        <f>IF(F14="",-1,IF(F14&lt;0,-1,IF(F14=0,-1,IF(F14&lt;738.8,1,IF(F14&gt;1514.84,1,0)))))</f>
        <v>-1</v>
      </c>
      <c r="AM5" s="22">
        <v>0</v>
      </c>
      <c r="AN5" s="13">
        <v>21.4</v>
      </c>
      <c r="AO5" s="14"/>
      <c r="AP5" s="17">
        <f>IF(F15="",-1,IF(F15&lt;0,-1,IF(F15=0,-1,IF(F15&lt;1537,1,IF(F15&gt;3320.7,1,0)))))</f>
        <v>-1</v>
      </c>
      <c r="AQ5" s="34">
        <v>0</v>
      </c>
      <c r="AR5" s="34">
        <v>0.105</v>
      </c>
      <c r="AS5" s="34"/>
      <c r="AT5" s="17">
        <f>IF(F17="",-1,IF(F17&lt;0,-1,IF(F17=0,-1,IF(F17&lt;7.023,1,IF(F17&gt;14.13,1,0)))))</f>
        <v>-1</v>
      </c>
      <c r="AU5" s="22">
        <v>0</v>
      </c>
      <c r="AV5" s="13">
        <v>0.18</v>
      </c>
      <c r="AW5" s="14"/>
      <c r="AX5" s="17">
        <f>IF(F18="",-1,IF(F18&lt;0,-1,IF(F18=0,-1,IF(F18&lt;12.45,1,IF(F18&gt;31.68,1,0)))))</f>
        <v>-1</v>
      </c>
      <c r="AY5" s="22">
        <v>0</v>
      </c>
      <c r="AZ5" s="13">
        <v>0.64200000000000002</v>
      </c>
      <c r="BA5" s="14"/>
      <c r="BB5" s="17">
        <f>IF(F20="",-1,IF(F20&lt;0,-1,IF(F20=0,-1,IF(F20&lt;45.35,1,IF(F20&gt;106.525,1,0)))))</f>
        <v>-1</v>
      </c>
      <c r="BC5" s="22">
        <v>0</v>
      </c>
      <c r="BD5" s="13">
        <v>6.4</v>
      </c>
      <c r="BE5" s="14"/>
      <c r="BF5" s="17">
        <f>IF(F22="",-1,IF(F22&lt;0,-1,IF(F22=0,-1,IF(F22&lt;458.88,1,IF(F22&gt;1023.44,1,0)))))</f>
        <v>-1</v>
      </c>
      <c r="BG5" s="22">
        <v>0</v>
      </c>
      <c r="BH5" s="13">
        <v>0</v>
      </c>
      <c r="BI5" s="11">
        <v>0</v>
      </c>
      <c r="BJ5" s="17">
        <f>IF(F24="",-1,IF(F24&lt;0,-1,IF(F24=0,-1,IF(F24&lt;1.23,1,IF(F24&gt;2.6,1,0)))))</f>
        <v>-1</v>
      </c>
      <c r="BK5" s="22">
        <v>0</v>
      </c>
      <c r="BL5" s="35"/>
      <c r="BM5" s="11">
        <v>0</v>
      </c>
      <c r="BN5" s="17">
        <f>IF(F25="",-1,IF(F25&lt;0,-1,IF(F25=0,-1,IF(F25&lt;1.06,1,IF(F25&gt;2.13,1,0)))))</f>
        <v>-1</v>
      </c>
      <c r="BO5" s="22">
        <v>0</v>
      </c>
      <c r="BP5" s="13"/>
      <c r="BQ5" s="11">
        <v>0</v>
      </c>
      <c r="BR5" s="17">
        <f>IF(F26="",-1,IF(F26&lt;0,-1,IF(F26=0,-1,IF(F26&lt;1.55,1,IF(F26&gt;6.6,1,0)))))</f>
        <v>-1</v>
      </c>
      <c r="BS5" s="22">
        <v>0</v>
      </c>
      <c r="BT5" s="13"/>
      <c r="BU5" s="11">
        <v>0</v>
      </c>
      <c r="BV5" s="17">
        <f>IF(F27="",-1,IF(F27&lt;0,-1,IF(F27=0,-1,IF(F27&lt;3.55,1,IF(F27&gt;9.63,1,0)))))</f>
        <v>-1</v>
      </c>
      <c r="BW5" s="22">
        <v>0</v>
      </c>
      <c r="BX5" s="13"/>
      <c r="BY5" s="11">
        <v>0</v>
      </c>
      <c r="BZ5" s="17">
        <f>IF(F28="",-1,IF(F28&lt;0,-1,IF(F28=0,-1,IF(F28&lt;2.12,1,IF(F28&gt;4.26,1,0)))))</f>
        <v>-1</v>
      </c>
      <c r="CA5" s="22">
        <v>0</v>
      </c>
      <c r="CB5" s="13"/>
      <c r="CC5" s="11">
        <v>0</v>
      </c>
      <c r="CD5" s="17">
        <f>IF(F29="",-1,IF(F29&lt;0,-1,IF(F29=0,-1,IF(F29&lt;7.35,1,IF(F29&gt;20.01,1,0)))))</f>
        <v>-1</v>
      </c>
      <c r="CE5" s="22">
        <v>0</v>
      </c>
      <c r="CF5" s="13"/>
      <c r="CG5" s="23"/>
      <c r="CH5" s="17">
        <f>IF(F31="",-1,IF(F31&lt;0,-1,IF(F31=0,-1,IF(F31&lt;4.78,1,IF(F31&gt;25.22,1,0)))))</f>
        <v>-1</v>
      </c>
      <c r="CI5" s="22">
        <v>0</v>
      </c>
      <c r="CJ5" s="13"/>
      <c r="CK5" s="23"/>
      <c r="CL5" s="17">
        <f>IF(F32="",-1,IF(F32&lt;0,-1,IF(F32=0,-1,IF(F32&lt;12.84,1,IF(F32&gt;82.02,1,0)))))</f>
        <v>-1</v>
      </c>
      <c r="CM5" s="22">
        <v>0</v>
      </c>
      <c r="CN5" s="13"/>
      <c r="CO5" s="23"/>
      <c r="CP5" s="17">
        <f>IF(F33="",-1,IF(F33&lt;0,-1,IF(F33=0,-1,IF(F33&lt;9.93,1,IF(F33&gt;96.28,1,0)))))</f>
        <v>-1</v>
      </c>
      <c r="CQ5" s="22">
        <v>0</v>
      </c>
      <c r="CR5" s="13"/>
      <c r="CS5" s="23"/>
      <c r="CT5" s="17">
        <f>IF(F34="",-1,IF(F34&lt;0,-1,IF(F34=0,-1,IF(F34&lt;14.4,1,IF(F34&gt;107.11,1,0)))))</f>
        <v>-1</v>
      </c>
      <c r="CU5" s="47">
        <v>0</v>
      </c>
      <c r="CV5" s="34"/>
      <c r="CW5" s="34"/>
      <c r="CX5" s="17">
        <f>IF(F36="",-1,IF(F36&lt;0,-1,IF(F36=0,-1,IF(F36&lt;1016,1,IF(F36&gt;2223,1,0)))))</f>
        <v>-1</v>
      </c>
      <c r="CY5" s="47">
        <v>0</v>
      </c>
      <c r="CZ5" s="34"/>
      <c r="DA5" s="34"/>
      <c r="DB5" s="17">
        <f>IF(F37="",-1,IF(F37&lt;0,-1,IF(F37=0,-1,IF(F37&lt;2141,1,IF(F37&gt;4685,1,0)))))</f>
        <v>-1</v>
      </c>
      <c r="DC5" s="34"/>
      <c r="DD5" s="65"/>
      <c r="DE5" s="65"/>
      <c r="DF5" s="65"/>
      <c r="DG5" s="65"/>
      <c r="DH5" s="65"/>
    </row>
    <row r="6" spans="1:114" ht="12.5" customHeight="1" x14ac:dyDescent="0.35">
      <c r="A6" s="2"/>
      <c r="B6" s="75" t="s">
        <v>31</v>
      </c>
      <c r="C6" s="58"/>
      <c r="D6" s="28" t="str">
        <f>IF(N12&gt;=0,N17,"")</f>
        <v/>
      </c>
      <c r="E6" s="20" t="str">
        <f>IF(N12=1,"Feil i resultat?",IF(N17=N18,"","Inkonsistent."))</f>
        <v/>
      </c>
      <c r="F6" s="21">
        <f>C6/10</f>
        <v>0</v>
      </c>
      <c r="G6" s="35">
        <v>6.19</v>
      </c>
      <c r="H6" s="35">
        <v>8.3000000000000004E-2</v>
      </c>
      <c r="I6" s="11">
        <v>1300</v>
      </c>
      <c r="J6" s="13">
        <f>IF(J5&lt;0,0,LOOKUP(F4,G4:G32,G5:G33))</f>
        <v>0</v>
      </c>
      <c r="K6" s="13">
        <v>9.5</v>
      </c>
      <c r="L6" s="13">
        <v>0.13500000000000001</v>
      </c>
      <c r="M6" s="11">
        <v>1300</v>
      </c>
      <c r="N6" s="13">
        <f>IF(N5&lt;0,0,LOOKUP(F5,K4:K32,K5:K33))</f>
        <v>0</v>
      </c>
      <c r="O6" s="13">
        <v>18.95</v>
      </c>
      <c r="P6" s="13">
        <v>0.26800000000000002</v>
      </c>
      <c r="Q6" s="11">
        <v>1300</v>
      </c>
      <c r="R6" s="13">
        <f>IF(R5&lt;0,0,LOOKUP(F7,O4:O32,O5:O33))</f>
        <v>0</v>
      </c>
      <c r="S6" s="13">
        <v>42</v>
      </c>
      <c r="T6" s="13">
        <v>0.59399999999999997</v>
      </c>
      <c r="U6" s="11">
        <v>1300</v>
      </c>
      <c r="V6" s="13">
        <f>IF(V5&lt;0,0,LOOKUP(F9,S4:S32,S5:S33))</f>
        <v>0</v>
      </c>
      <c r="W6" s="13">
        <v>98.4</v>
      </c>
      <c r="X6" s="13">
        <v>1.37</v>
      </c>
      <c r="Y6" s="11">
        <v>1300</v>
      </c>
      <c r="Z6" s="13">
        <f>IF(Z5&lt;0,0,LOOKUP(F11,W4:W32,W5:W33))</f>
        <v>0</v>
      </c>
      <c r="AA6" s="13">
        <v>200.5</v>
      </c>
      <c r="AB6" s="13">
        <v>2.8</v>
      </c>
      <c r="AC6" s="11">
        <v>1300</v>
      </c>
      <c r="AD6" s="13">
        <f>IF(AD5&lt;0,0,LOOKUP(F12,AA4:AA32,AA5:AA33))</f>
        <v>0</v>
      </c>
      <c r="AE6" s="13">
        <v>428</v>
      </c>
      <c r="AF6" s="13">
        <v>6</v>
      </c>
      <c r="AG6" s="11">
        <v>1300</v>
      </c>
      <c r="AH6" s="13">
        <f>IF(AH5&lt;0,0,LOOKUP(F13,AE4:AE32,AE5:AE33))</f>
        <v>0</v>
      </c>
      <c r="AI6" s="13">
        <v>739</v>
      </c>
      <c r="AJ6" s="13">
        <v>10.3</v>
      </c>
      <c r="AK6" s="11">
        <v>1300</v>
      </c>
      <c r="AL6" s="13">
        <f>IF(AL5&lt;0,0,LOOKUP(F14,AI4:AI32,AI5:AI33))</f>
        <v>0</v>
      </c>
      <c r="AM6" s="13">
        <v>1537</v>
      </c>
      <c r="AN6" s="13">
        <v>21.4</v>
      </c>
      <c r="AO6" s="11">
        <v>1300</v>
      </c>
      <c r="AP6" s="13">
        <f>IF(AP5&lt;0,0,LOOKUP(F15,AM4:AM32,AM5:AM33))</f>
        <v>0</v>
      </c>
      <c r="AQ6" s="35">
        <v>7.0250000000000004</v>
      </c>
      <c r="AR6" s="35">
        <v>0.105</v>
      </c>
      <c r="AS6" s="11">
        <v>1300</v>
      </c>
      <c r="AT6" s="13">
        <f>IF(AT5&lt;0,0,LOOKUP(F17,AQ4:AQ32,AQ5:AQ33))</f>
        <v>0</v>
      </c>
      <c r="AU6" s="13">
        <v>12.45</v>
      </c>
      <c r="AV6" s="13">
        <v>0.18</v>
      </c>
      <c r="AW6" s="11">
        <v>1300</v>
      </c>
      <c r="AX6" s="13">
        <f>IF(AX5&lt;0,0,LOOKUP(F18,AU4:AU32,AU5:AU33))</f>
        <v>0</v>
      </c>
      <c r="AY6" s="13">
        <v>45.35</v>
      </c>
      <c r="AZ6" s="13">
        <v>0.64200000000000002</v>
      </c>
      <c r="BA6" s="11">
        <v>1300</v>
      </c>
      <c r="BB6" s="13">
        <f>IF(BB5&lt;0,0,LOOKUP(F20,AY4:AY32,AY5:AY33))</f>
        <v>0</v>
      </c>
      <c r="BC6" s="13">
        <v>459</v>
      </c>
      <c r="BD6" s="13">
        <v>6.4</v>
      </c>
      <c r="BE6" s="11">
        <v>1300</v>
      </c>
      <c r="BF6" s="13">
        <f>IF(BF5&lt;0,0,LOOKUP(F22,BC4:BC32,BC5:BC33))</f>
        <v>0</v>
      </c>
      <c r="BG6" s="13">
        <v>1.238</v>
      </c>
      <c r="BH6" s="13">
        <v>3.10000000000001E-2</v>
      </c>
      <c r="BI6" s="11">
        <v>0</v>
      </c>
      <c r="BJ6" s="13">
        <f>IF(BJ5&lt;0,0,LOOKUP(F24,BG4:BG32,BG4:BG32))</f>
        <v>0</v>
      </c>
      <c r="BK6" s="13">
        <v>1.06</v>
      </c>
      <c r="BL6" s="13">
        <v>2.5000000000000001E-2</v>
      </c>
      <c r="BM6" s="11">
        <v>0</v>
      </c>
      <c r="BN6" s="13">
        <f>IF(BN5&lt;0,0,LOOKUP(F25,BK4:BK32,BK4:BK32))</f>
        <v>0</v>
      </c>
      <c r="BO6" s="13">
        <v>1.55</v>
      </c>
      <c r="BP6" s="13">
        <v>0.1</v>
      </c>
      <c r="BQ6" s="11">
        <v>0</v>
      </c>
      <c r="BR6" s="13">
        <f>IF(BR5&lt;0,0,LOOKUP(F26,BO4:BO32,BO4:BO32))</f>
        <v>0</v>
      </c>
      <c r="BS6" s="13">
        <v>3.552</v>
      </c>
      <c r="BT6" s="13">
        <v>0.185</v>
      </c>
      <c r="BU6" s="11">
        <v>0</v>
      </c>
      <c r="BV6" s="13">
        <f>IF(BV5&lt;0,0,LOOKUP(F27,BS4:BS32,BS4:BS32))</f>
        <v>0</v>
      </c>
      <c r="BW6" s="13">
        <v>2.12</v>
      </c>
      <c r="BX6" s="13">
        <v>0.05</v>
      </c>
      <c r="BY6" s="11">
        <v>0</v>
      </c>
      <c r="BZ6" s="13">
        <f>IF(BZ5&lt;0,0,LOOKUP(F28,BW4:BW32,BW4:BW32))</f>
        <v>0</v>
      </c>
      <c r="CA6" s="13">
        <v>7.3490000000000002</v>
      </c>
      <c r="CB6" s="13">
        <v>0.38300000000000001</v>
      </c>
      <c r="CC6" s="11">
        <v>0</v>
      </c>
      <c r="CD6" s="13">
        <f>IF(CD5&lt;0,0,LOOKUP(F29,CA4:CA32,CA4:CA32))</f>
        <v>0</v>
      </c>
      <c r="CE6" s="13">
        <v>4.78</v>
      </c>
      <c r="CF6" s="13">
        <v>0.5</v>
      </c>
      <c r="CG6" s="23">
        <v>0</v>
      </c>
      <c r="CH6" s="13">
        <f>IF(CH5&lt;0,0,LOOKUP(F31,CE4:CE32,CE4:CE32))</f>
        <v>0</v>
      </c>
      <c r="CI6" s="13">
        <v>12.84</v>
      </c>
      <c r="CJ6" s="13">
        <v>1.64</v>
      </c>
      <c r="CK6" s="23">
        <v>0</v>
      </c>
      <c r="CL6" s="13">
        <f>IF(CL5&lt;0,0,LOOKUP(F32,CI4:CI32,CI4:CI32))</f>
        <v>0</v>
      </c>
      <c r="CM6" s="13">
        <v>9.93</v>
      </c>
      <c r="CN6" s="13">
        <v>1.44</v>
      </c>
      <c r="CO6" s="23">
        <v>0</v>
      </c>
      <c r="CP6" s="13">
        <f>IF(CP5&lt;0,0,LOOKUP(F33,CM4:CM32,CM4:CM32))</f>
        <v>0</v>
      </c>
      <c r="CQ6" s="22">
        <v>14.4</v>
      </c>
      <c r="CR6" s="13">
        <v>1.8</v>
      </c>
      <c r="CS6" s="23">
        <v>0</v>
      </c>
      <c r="CT6" s="13">
        <f>IF(CT5&lt;0,0,LOOKUP(F34,CQ4:CQ32,CQ4:CQ32))</f>
        <v>0</v>
      </c>
      <c r="CU6" s="34">
        <v>1016</v>
      </c>
      <c r="CV6" s="34">
        <v>15</v>
      </c>
      <c r="CW6" s="11">
        <v>1300</v>
      </c>
      <c r="CX6" s="13">
        <f>IF(CX5&lt;0,0,LOOKUP(F36,CU4:CU32,CU5:CU33))</f>
        <v>0</v>
      </c>
      <c r="CY6" s="34">
        <v>2141</v>
      </c>
      <c r="CZ6" s="34">
        <v>31</v>
      </c>
      <c r="DA6" s="11">
        <v>1300</v>
      </c>
      <c r="DB6" s="13">
        <f>IF(DB5&lt;0,0,LOOKUP(F37,CY4:CY32,CY5:CY33))</f>
        <v>0</v>
      </c>
      <c r="DC6" s="34"/>
      <c r="DD6" s="50"/>
      <c r="DE6" s="50"/>
      <c r="DF6" s="50"/>
      <c r="DG6" s="50"/>
      <c r="DH6" s="50"/>
    </row>
    <row r="7" spans="1:114" ht="12.5" customHeight="1" x14ac:dyDescent="0.35">
      <c r="A7" s="2"/>
      <c r="B7" s="76" t="s">
        <v>32</v>
      </c>
      <c r="C7" s="29"/>
      <c r="D7" s="28" t="str">
        <f>IF(R5&gt;=0,R9,"")</f>
        <v/>
      </c>
      <c r="E7" s="20" t="str">
        <f>IF(R5=1,"Feil i resultat?",IF(R9=R10,"","Inkonsistent."))</f>
        <v/>
      </c>
      <c r="F7" s="3">
        <f>C7/100</f>
        <v>0</v>
      </c>
      <c r="G7" s="35">
        <v>6.274</v>
      </c>
      <c r="H7" s="35">
        <f>G7-G6</f>
        <v>8.3999999999999631E-2</v>
      </c>
      <c r="I7" s="11">
        <v>1250</v>
      </c>
      <c r="J7" s="13">
        <f>IF(J6&gt;0,LOOKUP(F4,G4:G32,H5:H33),0)</f>
        <v>0</v>
      </c>
      <c r="K7" s="13">
        <f t="shared" ref="K7:K32" si="0">K6+L7</f>
        <v>9.64</v>
      </c>
      <c r="L7" s="13">
        <v>0.14000000000000001</v>
      </c>
      <c r="M7" s="11">
        <v>1250</v>
      </c>
      <c r="N7" s="13">
        <f>IF(N6&gt;0,LOOKUP(F5,K4:K32,L5:L33),0)</f>
        <v>0</v>
      </c>
      <c r="O7" s="13">
        <f t="shared" ref="O7:O32" si="1">O6+P7</f>
        <v>19.231999999999999</v>
      </c>
      <c r="P7" s="13">
        <v>0.28199999999999997</v>
      </c>
      <c r="Q7" s="11">
        <v>1250</v>
      </c>
      <c r="R7" s="11">
        <f>IF(R6&gt;0,LOOKUP(F7,O4:O32,P5:P33),0)</f>
        <v>0</v>
      </c>
      <c r="S7" s="13">
        <f t="shared" ref="S7:S32" si="2">S6+T7</f>
        <v>42.621000000000002</v>
      </c>
      <c r="T7" s="13">
        <v>0.621</v>
      </c>
      <c r="U7" s="11">
        <v>1250</v>
      </c>
      <c r="V7" s="13">
        <f>IF(V6&gt;0,LOOKUP(F9,S4:S32,T5:T33),0)</f>
        <v>0</v>
      </c>
      <c r="W7" s="13">
        <f t="shared" ref="W7:W32" si="3">W6+X7</f>
        <v>99.77000000000001</v>
      </c>
      <c r="X7" s="13">
        <v>1.37</v>
      </c>
      <c r="Y7" s="11">
        <v>1250</v>
      </c>
      <c r="Z7" s="13">
        <f>IF(Z6&gt;0,LOOKUP(F11,W4:W32,X5:X33),0)</f>
        <v>0</v>
      </c>
      <c r="AA7" s="13">
        <f t="shared" ref="AA7:AA32" si="4">AA6+AB7</f>
        <v>203.33</v>
      </c>
      <c r="AB7" s="13">
        <v>2.83</v>
      </c>
      <c r="AC7" s="11">
        <v>1250</v>
      </c>
      <c r="AD7" s="13" t="str">
        <f>IF(AD6&gt;0,LOOKUP(F12,AA4:AA32,AB5:AB33),"")</f>
        <v/>
      </c>
      <c r="AE7" s="13">
        <f t="shared" ref="AE7:AE32" si="5">AE6+AF7</f>
        <v>434.12</v>
      </c>
      <c r="AF7" s="13">
        <v>6.12</v>
      </c>
      <c r="AG7" s="11">
        <v>1250</v>
      </c>
      <c r="AH7" s="13" t="str">
        <f>IF(AH6&gt;0,LOOKUP(F13,AE4:AE32,AF5:AF33),"")</f>
        <v/>
      </c>
      <c r="AI7" s="13">
        <f t="shared" ref="AI7:AI32" si="6">AI6+AJ7</f>
        <v>749.5</v>
      </c>
      <c r="AJ7" s="13">
        <v>10.5</v>
      </c>
      <c r="AK7" s="11">
        <v>1250</v>
      </c>
      <c r="AL7" s="13" t="str">
        <f>IF(AL6&gt;0,LOOKUP(F14,AI4:AI32,AJ5:AJ33),"")</f>
        <v/>
      </c>
      <c r="AM7" s="13">
        <f t="shared" ref="AM7:AM32" si="7">AM6+AN7</f>
        <v>1559</v>
      </c>
      <c r="AN7" s="13">
        <v>22</v>
      </c>
      <c r="AO7" s="11">
        <v>1250</v>
      </c>
      <c r="AP7" s="13">
        <f>IF(AP6&gt;0,LOOKUP(F15,AM4:AM32,AN5:AN33),0)</f>
        <v>0</v>
      </c>
      <c r="AQ7" s="35">
        <v>7.1340000000000003</v>
      </c>
      <c r="AR7" s="35">
        <f>AQ7-AQ6</f>
        <v>0.10899999999999999</v>
      </c>
      <c r="AS7" s="11">
        <v>1250</v>
      </c>
      <c r="AT7" s="13">
        <f>IF(AT6&gt;0,LOOKUP(F17,AQ4:AQ32,AR5:AR33),0)</f>
        <v>0</v>
      </c>
      <c r="AU7" s="13">
        <f t="shared" ref="AU7:AU32" si="8">AU6+AV7</f>
        <v>12.639999999999999</v>
      </c>
      <c r="AV7" s="13">
        <v>0.19</v>
      </c>
      <c r="AW7" s="11">
        <v>1250</v>
      </c>
      <c r="AX7" s="13">
        <f>IF(AX6&gt;0,LOOKUP(F18,AU4:AU32,AV5:AV33),0)</f>
        <v>0</v>
      </c>
      <c r="AY7" s="13">
        <f t="shared" ref="AY7:AY32" si="9">AY6+AZ7</f>
        <v>46.021999999999998</v>
      </c>
      <c r="AZ7" s="13">
        <v>0.67200000000000004</v>
      </c>
      <c r="BA7" s="11">
        <v>1250</v>
      </c>
      <c r="BB7" s="13">
        <f>IF(BB6&gt;0,LOOKUP(F20,AY4:AY32,AZ5:AZ33),0)</f>
        <v>0</v>
      </c>
      <c r="BC7" s="13">
        <f t="shared" ref="BC7:BC32" si="10">BC6+BD7</f>
        <v>465.6</v>
      </c>
      <c r="BD7" s="13">
        <v>6.6</v>
      </c>
      <c r="BE7" s="11">
        <v>1250</v>
      </c>
      <c r="BF7" s="13">
        <f>IF(BF6&gt;0,LOOKUP(F22,BC4:BC32,BD5:BD33),0)</f>
        <v>0</v>
      </c>
      <c r="BG7" s="13">
        <f>BG6+BH6</f>
        <v>1.2690000000000001</v>
      </c>
      <c r="BH7" s="13">
        <v>3.3000000000000099E-2</v>
      </c>
      <c r="BI7" s="11">
        <v>50</v>
      </c>
      <c r="BJ7" s="13">
        <f>IF(BJ6&gt;0,LOOKUP(F24,BG4:BG32,BH4:BH32),0)</f>
        <v>0</v>
      </c>
      <c r="BK7" s="13">
        <f t="shared" ref="BK7:BK32" si="11">BK6+BL6</f>
        <v>1.085</v>
      </c>
      <c r="BL7" s="13">
        <v>2.5000000000000001E-2</v>
      </c>
      <c r="BM7" s="11">
        <v>50</v>
      </c>
      <c r="BN7" s="13">
        <f>IF(BN6&gt;0,LOOKUP(F25,BK4:BK32,BL4:BL32),0)</f>
        <v>0</v>
      </c>
      <c r="BO7" s="13">
        <f>BO6+BP6</f>
        <v>1.6500000000000001</v>
      </c>
      <c r="BP7" s="13">
        <v>0.11</v>
      </c>
      <c r="BQ7" s="11">
        <v>50</v>
      </c>
      <c r="BR7" s="13">
        <f>IF(BR6&gt;0,LOOKUP(F26,BO4:BO32,BP4:BP32),0)</f>
        <v>0</v>
      </c>
      <c r="BS7" s="13">
        <f t="shared" ref="BS7:BS32" si="12">BS6+BT6</f>
        <v>3.7370000000000001</v>
      </c>
      <c r="BT7" s="13">
        <v>0.188</v>
      </c>
      <c r="BU7" s="11">
        <v>50</v>
      </c>
      <c r="BV7" s="13">
        <f>IF(BV6&gt;0,LOOKUP(F27,BS4:BS32,BT4:BT32),0)</f>
        <v>0</v>
      </c>
      <c r="BW7" s="13">
        <f t="shared" ref="BW7:BW32" si="13">BW6+BX6</f>
        <v>2.17</v>
      </c>
      <c r="BX7" s="13">
        <v>0.05</v>
      </c>
      <c r="BY7" s="11">
        <v>50</v>
      </c>
      <c r="BZ7" s="13">
        <f>IF(BZ6&gt;0,LOOKUP(F28,BW4:BW32,BX4:BX32),0)</f>
        <v>0</v>
      </c>
      <c r="CA7" s="13">
        <f t="shared" ref="CA7:CA32" si="14">CA6+CB6</f>
        <v>7.7320000000000002</v>
      </c>
      <c r="CB7" s="13">
        <v>0.38900000000000001</v>
      </c>
      <c r="CC7" s="11">
        <v>50</v>
      </c>
      <c r="CD7" s="13">
        <f>IF(CD6&gt;0,LOOKUP(F29,CA4:CA32,CB4:CB32),0)</f>
        <v>0</v>
      </c>
      <c r="CE7" s="13">
        <f t="shared" ref="CE7:CE32" si="15">CE6+CF6</f>
        <v>5.28</v>
      </c>
      <c r="CF7" s="13">
        <v>0.52</v>
      </c>
      <c r="CG7" s="23">
        <v>50</v>
      </c>
      <c r="CH7" s="13">
        <f>IF(CH6&gt;0,LOOKUP(F31,CE4:CE32,CF4:CF32),0)</f>
        <v>0</v>
      </c>
      <c r="CI7" s="13">
        <f t="shared" ref="CI7:CI32" si="16">CI6+CJ6</f>
        <v>14.48</v>
      </c>
      <c r="CJ7" s="13">
        <v>1.65</v>
      </c>
      <c r="CK7" s="23">
        <v>50</v>
      </c>
      <c r="CL7" s="13">
        <f>IF(CL6&gt;0,LOOKUP(F32,CI4:CI32,CJ4:CJ32),0)</f>
        <v>0</v>
      </c>
      <c r="CM7" s="13">
        <f t="shared" ref="CM7:CM32" si="17">CM6+CN6</f>
        <v>11.37</v>
      </c>
      <c r="CN7" s="13">
        <v>1.62</v>
      </c>
      <c r="CO7" s="23">
        <v>50</v>
      </c>
      <c r="CP7" s="13">
        <f>IF(CP6&gt;0,LOOKUP(F33,CM4:CM32,CN4:CN32),0)</f>
        <v>0</v>
      </c>
      <c r="CQ7" s="13">
        <f t="shared" ref="CQ7:CQ32" si="18">CQ6+CR6</f>
        <v>16.2</v>
      </c>
      <c r="CR7" s="13">
        <v>2</v>
      </c>
      <c r="CS7" s="23">
        <v>50</v>
      </c>
      <c r="CT7" s="13">
        <f>IF(CT6&gt;0,LOOKUP(F34,CQ4:CQ32,CR4:CR32),0)</f>
        <v>0</v>
      </c>
      <c r="CU7" s="34">
        <v>1031</v>
      </c>
      <c r="CV7" s="34">
        <v>15</v>
      </c>
      <c r="CW7" s="11">
        <v>1250</v>
      </c>
      <c r="CX7" s="13">
        <f>IF(CX6&gt;0,LOOKUP(F36,CU4:CU32,CV5:CV33),0)</f>
        <v>0</v>
      </c>
      <c r="CY7" s="34">
        <v>2172</v>
      </c>
      <c r="CZ7" s="34">
        <v>31</v>
      </c>
      <c r="DA7" s="11">
        <v>1250</v>
      </c>
      <c r="DB7" s="13">
        <f>IF(DB6&gt;0,LOOKUP(F37,CY4:CY32,CZ5:CZ33),0)</f>
        <v>0</v>
      </c>
      <c r="DC7" s="34"/>
      <c r="DD7" s="50"/>
      <c r="DE7" s="66" t="s">
        <v>61</v>
      </c>
      <c r="DF7" s="67"/>
      <c r="DG7" s="67"/>
      <c r="DH7" s="50"/>
    </row>
    <row r="8" spans="1:114" ht="12.5" customHeight="1" x14ac:dyDescent="0.35">
      <c r="A8" s="2"/>
      <c r="B8" s="76" t="s">
        <v>33</v>
      </c>
      <c r="C8" s="29"/>
      <c r="D8" s="28" t="str">
        <f>IF(R12&gt;=0,R17,"")</f>
        <v/>
      </c>
      <c r="E8" s="20" t="str">
        <f>IF(R12=1,"Feil i resultat?",IF(R17=R18,"","Inkonsistent."))</f>
        <v/>
      </c>
      <c r="F8" s="21">
        <f>C8/10</f>
        <v>0</v>
      </c>
      <c r="G8" s="35">
        <v>6.359</v>
      </c>
      <c r="H8" s="35">
        <f t="shared" ref="H8:H32" si="19">G8-G7</f>
        <v>8.4999999999999964E-2</v>
      </c>
      <c r="I8" s="11">
        <v>1200</v>
      </c>
      <c r="J8" s="11">
        <f>IF(J6&gt;0,LOOKUP(F4,G4:G32,I5:I33),0)</f>
        <v>0</v>
      </c>
      <c r="K8" s="13">
        <f t="shared" si="0"/>
        <v>9.7850000000000001</v>
      </c>
      <c r="L8" s="13">
        <v>0.14499999999999999</v>
      </c>
      <c r="M8" s="11">
        <v>1200</v>
      </c>
      <c r="N8" s="11">
        <f>IF(N6&gt;0,LOOKUP(F5,K4:K32,M5:M33),0)</f>
        <v>0</v>
      </c>
      <c r="O8" s="13">
        <f t="shared" si="1"/>
        <v>19.529999999999998</v>
      </c>
      <c r="P8" s="13">
        <v>0.29799999999999999</v>
      </c>
      <c r="Q8" s="11">
        <v>1200</v>
      </c>
      <c r="R8" s="11">
        <f>IF(R6&gt;0,LOOKUP(F7,O4:O32,Q5:Q33),0)</f>
        <v>0</v>
      </c>
      <c r="S8" s="13">
        <f t="shared" si="2"/>
        <v>43.272000000000006</v>
      </c>
      <c r="T8" s="13">
        <v>0.65100000000000002</v>
      </c>
      <c r="U8" s="11">
        <v>1200</v>
      </c>
      <c r="V8" s="23">
        <f>IF(V6&gt;0,LOOKUP(F9,S4:S32,U5:U33),0)</f>
        <v>0</v>
      </c>
      <c r="W8" s="13">
        <f t="shared" si="3"/>
        <v>101.14000000000001</v>
      </c>
      <c r="X8" s="13">
        <v>1.37</v>
      </c>
      <c r="Y8" s="11">
        <v>1200</v>
      </c>
      <c r="Z8" s="23">
        <f>IF(Z6&gt;0,LOOKUP(F11,W4:W32,Y5:Y33),0)</f>
        <v>0</v>
      </c>
      <c r="AA8" s="13">
        <f t="shared" si="4"/>
        <v>206.21</v>
      </c>
      <c r="AB8" s="13">
        <v>2.88</v>
      </c>
      <c r="AC8" s="11">
        <v>1200</v>
      </c>
      <c r="AD8" s="23">
        <f>IF(AD6&gt;0,LOOKUP(F12,AA4:AA32,AC5:AC33),0)</f>
        <v>0</v>
      </c>
      <c r="AE8" s="13">
        <f t="shared" si="5"/>
        <v>440.45</v>
      </c>
      <c r="AF8" s="13">
        <v>6.33</v>
      </c>
      <c r="AG8" s="11">
        <v>1200</v>
      </c>
      <c r="AH8" s="23">
        <f>IF(AH6&gt;0,LOOKUP(F13,AE4:AE32,AG5:AG33),0)</f>
        <v>0</v>
      </c>
      <c r="AI8" s="13">
        <f t="shared" si="6"/>
        <v>760.4</v>
      </c>
      <c r="AJ8" s="13">
        <v>10.9</v>
      </c>
      <c r="AK8" s="11">
        <v>1200</v>
      </c>
      <c r="AL8" s="23">
        <f>IF(AL6&gt;0,LOOKUP(F14,AI4:AI32,AK5:AK33),0)</f>
        <v>0</v>
      </c>
      <c r="AM8" s="13">
        <f t="shared" si="7"/>
        <v>1582</v>
      </c>
      <c r="AN8" s="13">
        <v>23</v>
      </c>
      <c r="AO8" s="11">
        <v>1200</v>
      </c>
      <c r="AP8" s="23">
        <f>IF(AP6&gt;0,LOOKUP(F15,AM4:AM32,AO5:AO33),0)</f>
        <v>0</v>
      </c>
      <c r="AQ8" s="35">
        <v>7.2490000000000006</v>
      </c>
      <c r="AR8" s="35">
        <f t="shared" ref="AR8:AR32" si="20">AQ8-AQ7</f>
        <v>0.11500000000000021</v>
      </c>
      <c r="AS8" s="11">
        <v>1200</v>
      </c>
      <c r="AT8" s="23">
        <f>IF(AT6&gt;0,LOOKUP(F17,AQ4:AQ32,AS5:AS33),0)</f>
        <v>0</v>
      </c>
      <c r="AU8" s="13">
        <f t="shared" si="8"/>
        <v>12.841999999999999</v>
      </c>
      <c r="AV8" s="13">
        <v>0.20200000000000001</v>
      </c>
      <c r="AW8" s="11">
        <v>1200</v>
      </c>
      <c r="AX8" s="23">
        <f>IF(AX6&gt;0,LOOKUP(F18,AU4:AU32,AW5:AW33),0)</f>
        <v>0</v>
      </c>
      <c r="AY8" s="13">
        <f t="shared" si="9"/>
        <v>46.728000000000002</v>
      </c>
      <c r="AZ8" s="13">
        <v>0.70599999999999996</v>
      </c>
      <c r="BA8" s="11">
        <v>1200</v>
      </c>
      <c r="BB8" s="23">
        <f>IF(BB6&gt;0,LOOKUP(F20,AY4:AY32,BA5:BA33),0)</f>
        <v>0</v>
      </c>
      <c r="BC8" s="13">
        <f t="shared" si="10"/>
        <v>472.5</v>
      </c>
      <c r="BD8" s="13">
        <v>6.9</v>
      </c>
      <c r="BE8" s="11">
        <v>1200</v>
      </c>
      <c r="BF8" s="23">
        <f>IF(BF6&gt;0,LOOKUP(F22,BC4:BC32,BE5:BE33),0)</f>
        <v>0</v>
      </c>
      <c r="BG8" s="13">
        <f t="shared" ref="BG8:BG32" si="21">BG7+BH7</f>
        <v>1.3020000000000003</v>
      </c>
      <c r="BH8" s="13">
        <v>3.50000000000001E-2</v>
      </c>
      <c r="BI8" s="11">
        <v>100</v>
      </c>
      <c r="BJ8" s="11">
        <f>IF(BJ6&gt;0,LOOKUP(F24,BG4:BG32,BI4:BI32),0)</f>
        <v>0</v>
      </c>
      <c r="BK8" s="13">
        <f t="shared" si="11"/>
        <v>1.1099999999999999</v>
      </c>
      <c r="BL8" s="13">
        <v>2.5000000000000001E-2</v>
      </c>
      <c r="BM8" s="11">
        <v>100</v>
      </c>
      <c r="BN8" s="11">
        <f>IF(BN6&gt;0,LOOKUP(F25,BK4:BK32,BM4:BM32),0)</f>
        <v>0</v>
      </c>
      <c r="BO8" s="13">
        <f t="shared" ref="BO8:BO32" si="22">BO7+BP7</f>
        <v>1.7600000000000002</v>
      </c>
      <c r="BP8" s="13">
        <v>0.12</v>
      </c>
      <c r="BQ8" s="11">
        <v>100</v>
      </c>
      <c r="BR8" s="11">
        <f>IF(BR6&gt;0,LOOKUP(F26,BO4:BO32,BQ4:BQ32),0)</f>
        <v>0</v>
      </c>
      <c r="BS8" s="13">
        <f t="shared" si="12"/>
        <v>3.9250000000000003</v>
      </c>
      <c r="BT8" s="13">
        <v>0.191</v>
      </c>
      <c r="BU8" s="11">
        <v>100</v>
      </c>
      <c r="BV8" s="11">
        <f>IF(BV6&gt;0,LOOKUP(F27,BS4:BS32,BU4:BU32),0)</f>
        <v>0</v>
      </c>
      <c r="BW8" s="13">
        <f t="shared" si="13"/>
        <v>2.2199999999999998</v>
      </c>
      <c r="BX8" s="13">
        <v>0.05</v>
      </c>
      <c r="BY8" s="11">
        <v>100</v>
      </c>
      <c r="BZ8" s="11">
        <f>IF(BZ6&gt;0,LOOKUP(F28,BW4:BW32,BY4:BY32),0)</f>
        <v>0</v>
      </c>
      <c r="CA8" s="13">
        <f t="shared" si="14"/>
        <v>8.1210000000000004</v>
      </c>
      <c r="CB8" s="13">
        <v>0.39600000000000002</v>
      </c>
      <c r="CC8" s="11">
        <v>100</v>
      </c>
      <c r="CD8" s="11">
        <f>IF(CD6&gt;0,LOOKUP(F29,CA4:CA32,CC4:CC32),0)</f>
        <v>0</v>
      </c>
      <c r="CE8" s="13">
        <f t="shared" si="15"/>
        <v>5.8000000000000007</v>
      </c>
      <c r="CF8" s="13">
        <v>0.54</v>
      </c>
      <c r="CG8" s="23">
        <v>100</v>
      </c>
      <c r="CH8" s="11">
        <f>IF(CH6&gt;0,LOOKUP(F31,CE4:CE32,CG4:CG32),0)</f>
        <v>0</v>
      </c>
      <c r="CI8" s="13">
        <f t="shared" si="16"/>
        <v>16.13</v>
      </c>
      <c r="CJ8" s="13">
        <v>1.67</v>
      </c>
      <c r="CK8" s="23">
        <v>100</v>
      </c>
      <c r="CL8" s="11">
        <f>IF(CL6&gt;0,LOOKUP(F32,CI4:CI32,CK4:CK32),0)</f>
        <v>0</v>
      </c>
      <c r="CM8" s="13">
        <f t="shared" si="17"/>
        <v>12.989999999999998</v>
      </c>
      <c r="CN8" s="13">
        <v>1.8</v>
      </c>
      <c r="CO8" s="23">
        <v>100</v>
      </c>
      <c r="CP8" s="11">
        <f>IF(CP6&gt;0,LOOKUP(F33,CM4:CM32,CO4:CO32),0)</f>
        <v>0</v>
      </c>
      <c r="CQ8" s="13">
        <f t="shared" si="18"/>
        <v>18.2</v>
      </c>
      <c r="CR8" s="13">
        <v>2.2000000000000002</v>
      </c>
      <c r="CS8" s="23">
        <v>100</v>
      </c>
      <c r="CT8" s="11">
        <f>IF(CT6&gt;0,LOOKUP(F34,CQ4:CQ32,CS4:CS32),0)</f>
        <v>0</v>
      </c>
      <c r="CU8" s="34">
        <v>1046</v>
      </c>
      <c r="CV8" s="34">
        <v>15</v>
      </c>
      <c r="CW8" s="11">
        <v>1200</v>
      </c>
      <c r="CX8" s="23">
        <f>IF(CX6&gt;0,LOOKUP(F36,CU4:CU32,CW5:CW33),0)</f>
        <v>0</v>
      </c>
      <c r="CY8" s="34">
        <v>2204</v>
      </c>
      <c r="CZ8" s="34">
        <v>32</v>
      </c>
      <c r="DA8" s="11">
        <v>1200</v>
      </c>
      <c r="DB8" s="23">
        <f>IF(DB6&gt;0,LOOKUP(F37,CY4:CY32,DA5:DA33),0)</f>
        <v>0</v>
      </c>
      <c r="DC8" s="34"/>
      <c r="DD8" s="50"/>
      <c r="DE8" s="50"/>
      <c r="DF8" s="50"/>
      <c r="DG8" s="50"/>
      <c r="DH8" s="50"/>
    </row>
    <row r="9" spans="1:114" ht="12.5" customHeight="1" x14ac:dyDescent="0.35">
      <c r="A9" s="2"/>
      <c r="B9" s="76" t="s">
        <v>34</v>
      </c>
      <c r="C9" s="29"/>
      <c r="D9" s="28" t="str">
        <f>IF(V5&gt;=0,V9,"")</f>
        <v/>
      </c>
      <c r="E9" s="20" t="str">
        <f>IF(V5=1,"Feil i resultat?",IF(V9=V10,"","Inkonsistent."))</f>
        <v/>
      </c>
      <c r="F9" s="3">
        <f>INT(C9/10000)*60+(C9-INT(C9/10000)*10000)/100</f>
        <v>0</v>
      </c>
      <c r="G9" s="35">
        <v>6.4459999999999997</v>
      </c>
      <c r="H9" s="35">
        <f t="shared" si="19"/>
        <v>8.6999999999999744E-2</v>
      </c>
      <c r="I9" s="11">
        <v>1150</v>
      </c>
      <c r="J9" s="14">
        <f>IF(J6&gt;0,INT(J8+(J6-F4)*(50/J7)+F38),0)</f>
        <v>0</v>
      </c>
      <c r="K9" s="13">
        <f t="shared" si="0"/>
        <v>9.9350000000000005</v>
      </c>
      <c r="L9" s="13">
        <v>0.15</v>
      </c>
      <c r="M9" s="11">
        <v>1150</v>
      </c>
      <c r="N9" s="14">
        <f>IF(N6&gt;0,INT(N8+(N6-F5)*(50/N7)+F38),0)</f>
        <v>0</v>
      </c>
      <c r="O9" s="13">
        <f t="shared" si="1"/>
        <v>19.843999999999998</v>
      </c>
      <c r="P9" s="13">
        <v>0.314</v>
      </c>
      <c r="Q9" s="11">
        <v>1150</v>
      </c>
      <c r="R9" s="14">
        <f>IF(R6&gt;0,INT(R8+(R6-F7)*(50/R7)+F38),0)</f>
        <v>0</v>
      </c>
      <c r="S9" s="13">
        <f t="shared" si="2"/>
        <v>43.953000000000003</v>
      </c>
      <c r="T9" s="13">
        <v>0.68100000000000005</v>
      </c>
      <c r="U9" s="11">
        <v>1150</v>
      </c>
      <c r="V9" s="17">
        <f>IF(V6&gt;0,INT(V8+(V6-F9)*(50/V7)+F38),0)</f>
        <v>0</v>
      </c>
      <c r="W9" s="13">
        <f t="shared" si="3"/>
        <v>102.53000000000002</v>
      </c>
      <c r="X9" s="13">
        <v>1.39</v>
      </c>
      <c r="Y9" s="11">
        <v>1150</v>
      </c>
      <c r="Z9" s="17">
        <f>IF(Z6&gt;0,INT(Z8+(Z6-F11)*(50/Z7)+F38),0)</f>
        <v>0</v>
      </c>
      <c r="AA9" s="13">
        <f t="shared" si="4"/>
        <v>209.16</v>
      </c>
      <c r="AB9" s="13">
        <v>2.95</v>
      </c>
      <c r="AC9" s="11">
        <v>1150</v>
      </c>
      <c r="AD9" s="17">
        <f>IF(AD6&gt;0,INT(AD8+(AD6-F12)*(50/AD7)+F38),0)</f>
        <v>0</v>
      </c>
      <c r="AE9" s="13">
        <f t="shared" si="5"/>
        <v>447.08</v>
      </c>
      <c r="AF9" s="13">
        <v>6.63</v>
      </c>
      <c r="AG9" s="11">
        <v>1150</v>
      </c>
      <c r="AH9" s="17">
        <f>IF(AH6&gt;0,INT(AH8+(AH6-F13)*(50/AH7)+F38),0)</f>
        <v>0</v>
      </c>
      <c r="AI9" s="13">
        <f t="shared" si="6"/>
        <v>771.9</v>
      </c>
      <c r="AJ9" s="13">
        <v>11.5</v>
      </c>
      <c r="AK9" s="11">
        <v>1150</v>
      </c>
      <c r="AL9" s="17">
        <f>IF(AL6&gt;0,INT(AL8+(AL6-F14)*(50/AL7)+F38),0)</f>
        <v>0</v>
      </c>
      <c r="AM9" s="13">
        <f t="shared" si="7"/>
        <v>1606.4</v>
      </c>
      <c r="AN9" s="13">
        <v>24.4</v>
      </c>
      <c r="AO9" s="11">
        <v>1150</v>
      </c>
      <c r="AP9" s="17">
        <f>IF(AP6&gt;0,INT(AP8+(AP6-F15)*(50/AP7)+F38),0)</f>
        <v>0</v>
      </c>
      <c r="AQ9" s="35">
        <v>7.3730000000000002</v>
      </c>
      <c r="AR9" s="35">
        <f t="shared" si="20"/>
        <v>0.12399999999999967</v>
      </c>
      <c r="AS9" s="11">
        <v>1150</v>
      </c>
      <c r="AT9" s="17">
        <f>IF(AT6&gt;0,INT(AT8+(AT6-F17)*(50/AT7)+F38),0)</f>
        <v>0</v>
      </c>
      <c r="AU9" s="13">
        <f t="shared" si="8"/>
        <v>13.057999999999998</v>
      </c>
      <c r="AV9" s="13">
        <v>0.216</v>
      </c>
      <c r="AW9" s="11">
        <v>1150</v>
      </c>
      <c r="AX9" s="17">
        <f>IF(AX6&gt;0,INT(AX8+(AX6-F18)*(50/AX7)+F38),0)</f>
        <v>0</v>
      </c>
      <c r="AY9" s="13">
        <f t="shared" si="9"/>
        <v>47.472999999999999</v>
      </c>
      <c r="AZ9" s="13">
        <v>0.745</v>
      </c>
      <c r="BA9" s="11">
        <v>1150</v>
      </c>
      <c r="BB9" s="17">
        <f>IF(BB6&gt;0,INT(BB8+(BB6-F20)*(50/BB7)+F38),0)</f>
        <v>0</v>
      </c>
      <c r="BC9" s="13">
        <f t="shared" si="10"/>
        <v>479.8</v>
      </c>
      <c r="BD9" s="13">
        <v>7.3</v>
      </c>
      <c r="BE9" s="11">
        <v>1150</v>
      </c>
      <c r="BF9" s="17">
        <f>IF(BF6&gt;0,INT(BF8+(BF6-F22)*(50/BF7)+F38),0)</f>
        <v>0</v>
      </c>
      <c r="BG9" s="13">
        <f t="shared" si="21"/>
        <v>1.3370000000000004</v>
      </c>
      <c r="BH9" s="13">
        <v>3.7000000000000102E-2</v>
      </c>
      <c r="BI9" s="11">
        <v>150</v>
      </c>
      <c r="BJ9" s="14">
        <f>IF(BJ7&gt;0,INT(BJ8+(F24-BJ6)*(50/BJ7)+F38),0)</f>
        <v>0</v>
      </c>
      <c r="BK9" s="13">
        <f t="shared" si="11"/>
        <v>1.1349999999999998</v>
      </c>
      <c r="BL9" s="13">
        <v>2.5000000000000001E-2</v>
      </c>
      <c r="BM9" s="11">
        <v>150</v>
      </c>
      <c r="BN9" s="14">
        <f>IF(BN6&gt;0,INT(BN8+(F25-BN6)*(50/BN7)+F38),0)</f>
        <v>0</v>
      </c>
      <c r="BO9" s="13">
        <f t="shared" si="22"/>
        <v>1.8800000000000003</v>
      </c>
      <c r="BP9" s="13">
        <v>0.13</v>
      </c>
      <c r="BQ9" s="11">
        <v>150</v>
      </c>
      <c r="BR9" s="14">
        <f>IF(BR7&gt;0,INT(BR8+(F26-BR6)*(50/BR7)+F38),0)</f>
        <v>0</v>
      </c>
      <c r="BS9" s="13">
        <f t="shared" si="12"/>
        <v>4.1160000000000005</v>
      </c>
      <c r="BT9" s="13">
        <v>0.19400000000000001</v>
      </c>
      <c r="BU9" s="11">
        <v>150</v>
      </c>
      <c r="BV9" s="14">
        <f>IF(BV7&gt;0,INT(BV8+(F27-BV6)*(50/BV7)+F38),0)</f>
        <v>0</v>
      </c>
      <c r="BW9" s="13">
        <f t="shared" si="13"/>
        <v>2.2699999999999996</v>
      </c>
      <c r="BX9" s="13">
        <v>0.05</v>
      </c>
      <c r="BY9" s="11">
        <v>150</v>
      </c>
      <c r="BZ9" s="14">
        <f>IF(BZ7&gt;0,INT(BZ8+(F28-BZ6)*(50/BZ7)+F38),0)</f>
        <v>0</v>
      </c>
      <c r="CA9" s="13">
        <f t="shared" si="14"/>
        <v>8.5170000000000012</v>
      </c>
      <c r="CB9" s="13">
        <v>0.40200000000000002</v>
      </c>
      <c r="CC9" s="11">
        <v>150</v>
      </c>
      <c r="CD9" s="14">
        <f>IF(CD7&gt;0,INT(CD8+(F29-CD6)*(50/CD7)+F38),0)</f>
        <v>0</v>
      </c>
      <c r="CE9" s="13">
        <f t="shared" si="15"/>
        <v>6.3400000000000007</v>
      </c>
      <c r="CF9" s="13">
        <v>0.56000000000000005</v>
      </c>
      <c r="CG9" s="23">
        <v>150</v>
      </c>
      <c r="CH9" s="14">
        <f>IF(CH7&gt;0,INT(CH8+(F31-CH6)*(50/CH7)+F38),0)</f>
        <v>0</v>
      </c>
      <c r="CI9" s="13">
        <f t="shared" si="16"/>
        <v>17.799999999999997</v>
      </c>
      <c r="CJ9" s="13">
        <v>1.7</v>
      </c>
      <c r="CK9" s="23">
        <v>150</v>
      </c>
      <c r="CL9" s="14">
        <f>IF(CL7&gt;0,INT(CL8+(F32-CL6)*(50/CL7)+F38),0)</f>
        <v>0</v>
      </c>
      <c r="CM9" s="13">
        <f t="shared" si="17"/>
        <v>14.79</v>
      </c>
      <c r="CN9" s="13">
        <v>1.98</v>
      </c>
      <c r="CO9" s="23">
        <v>150</v>
      </c>
      <c r="CP9" s="14">
        <f>IF(CP7&gt;0,INT(CP8+(F33-CP6)*(50/CP7)+F38),0)</f>
        <v>0</v>
      </c>
      <c r="CQ9" s="13">
        <f t="shared" si="18"/>
        <v>20.399999999999999</v>
      </c>
      <c r="CR9" s="13">
        <v>2.4</v>
      </c>
      <c r="CS9" s="23">
        <v>150</v>
      </c>
      <c r="CT9" s="14">
        <f>IF(CT7&gt;0,INT(CT8+(F34-CT6)*(50/CT7)+F38),0)</f>
        <v>0</v>
      </c>
      <c r="CU9" s="34">
        <v>1062</v>
      </c>
      <c r="CV9" s="34">
        <v>16</v>
      </c>
      <c r="CW9" s="11">
        <v>1150</v>
      </c>
      <c r="CX9" s="17">
        <f>IF(CX6&gt;0,INT(CX8+(CX6-F36)*(50/CX7)+F38),0)</f>
        <v>0</v>
      </c>
      <c r="CY9" s="34">
        <v>2238</v>
      </c>
      <c r="CZ9" s="34">
        <v>34</v>
      </c>
      <c r="DA9" s="11">
        <v>1150</v>
      </c>
      <c r="DB9" s="17">
        <f>IF(DB6&gt;0,INT(DB8+(DB6-F37)*(50/DB7)+F38),0)</f>
        <v>0</v>
      </c>
      <c r="DC9" s="34"/>
      <c r="DD9" s="50"/>
      <c r="DE9" s="50"/>
      <c r="DF9" s="50"/>
      <c r="DG9" s="50"/>
      <c r="DH9" s="50"/>
    </row>
    <row r="10" spans="1:114" ht="12.5" customHeight="1" x14ac:dyDescent="0.35">
      <c r="A10" s="2"/>
      <c r="B10" s="76" t="s">
        <v>35</v>
      </c>
      <c r="C10" s="57"/>
      <c r="D10" s="28" t="str">
        <f>IF(V12&gt;=0,V17,"")</f>
        <v/>
      </c>
      <c r="E10" s="20" t="str">
        <f>IF(V12=1,"Feil i resultat?",IF(V17=V18,"","Inkonsistent."))</f>
        <v/>
      </c>
      <c r="F10" s="21">
        <f>INT(C10/1000)*60+(C10-INT(C10/1000)*1000)/10</f>
        <v>0</v>
      </c>
      <c r="G10" s="35">
        <v>6.5350000000000001</v>
      </c>
      <c r="H10" s="35">
        <f t="shared" si="19"/>
        <v>8.9000000000000412E-2</v>
      </c>
      <c r="I10" s="11">
        <v>1100</v>
      </c>
      <c r="J10" s="14">
        <f>IF(J6&gt;0,INT(J8+(J6-F4)*(50/J7)),0)</f>
        <v>0</v>
      </c>
      <c r="K10" s="13">
        <f t="shared" si="0"/>
        <v>10.091000000000001</v>
      </c>
      <c r="L10" s="13">
        <v>0.156</v>
      </c>
      <c r="M10" s="11">
        <v>1100</v>
      </c>
      <c r="N10" s="14">
        <f>IF(N6&gt;0,INT(N8+(N6-F5)*(50/N7)),0)</f>
        <v>0</v>
      </c>
      <c r="O10" s="13">
        <f t="shared" si="1"/>
        <v>20.174999999999997</v>
      </c>
      <c r="P10" s="13">
        <v>0.33100000000000002</v>
      </c>
      <c r="Q10" s="11">
        <v>1100</v>
      </c>
      <c r="R10" s="14">
        <f>IF(R6&gt;0,INT(R8+(R6-F7)*(50/R7)),0)</f>
        <v>0</v>
      </c>
      <c r="S10" s="13">
        <f t="shared" si="2"/>
        <v>44.666000000000004</v>
      </c>
      <c r="T10" s="13">
        <v>0.71299999999999997</v>
      </c>
      <c r="U10" s="11">
        <v>1100</v>
      </c>
      <c r="V10" s="17">
        <f>IF(V6&gt;0,INT(V8+(V6-F9)*(50/V7)),0)</f>
        <v>0</v>
      </c>
      <c r="W10" s="13">
        <f t="shared" si="3"/>
        <v>103.96000000000002</v>
      </c>
      <c r="X10" s="13">
        <v>1.43</v>
      </c>
      <c r="Y10" s="11">
        <v>1100</v>
      </c>
      <c r="Z10" s="17">
        <f>IF(Z6&gt;0,INT(Z8+(Z6-F11)*(50/Z7)),0)</f>
        <v>0</v>
      </c>
      <c r="AA10" s="13">
        <f t="shared" si="4"/>
        <v>212.22</v>
      </c>
      <c r="AB10" s="13">
        <v>3.06</v>
      </c>
      <c r="AC10" s="11">
        <v>1100</v>
      </c>
      <c r="AD10" s="17">
        <f>IF(AD6&gt;0,INT(AD8+(AD6-F12)*(50/AD7)),0)</f>
        <v>0</v>
      </c>
      <c r="AE10" s="13">
        <f t="shared" si="5"/>
        <v>454.22999999999996</v>
      </c>
      <c r="AF10" s="13">
        <v>7.15</v>
      </c>
      <c r="AG10" s="11">
        <v>1100</v>
      </c>
      <c r="AH10" s="17">
        <f>IF(AH6&gt;0,INT(AH8+(AH6-F13)*(50/AH7)),0)</f>
        <v>0</v>
      </c>
      <c r="AI10" s="13">
        <f t="shared" si="6"/>
        <v>784.4</v>
      </c>
      <c r="AJ10" s="13">
        <v>12.5</v>
      </c>
      <c r="AK10" s="11">
        <v>1100</v>
      </c>
      <c r="AL10" s="17">
        <f>IF(AL6&gt;0,INT(AL8+(AL6-F14)*(50/AL7)),0)</f>
        <v>0</v>
      </c>
      <c r="AM10" s="13">
        <f t="shared" si="7"/>
        <v>1633.2</v>
      </c>
      <c r="AN10" s="13">
        <v>26.8</v>
      </c>
      <c r="AO10" s="11">
        <v>1100</v>
      </c>
      <c r="AP10" s="17">
        <f>IF(AP6&gt;0,INT(AP8+(AP6-F15)*(50/AP7)),0)</f>
        <v>0</v>
      </c>
      <c r="AQ10" s="35">
        <v>7.5070000000000014</v>
      </c>
      <c r="AR10" s="35">
        <f t="shared" si="20"/>
        <v>0.13400000000000123</v>
      </c>
      <c r="AS10" s="11">
        <v>1100</v>
      </c>
      <c r="AT10" s="17">
        <f>IF(AT6&gt;0,INT(AT8+(AT6-F17)*(50/AT7)),0)</f>
        <v>0</v>
      </c>
      <c r="AU10" s="13">
        <f t="shared" si="8"/>
        <v>13.289999999999997</v>
      </c>
      <c r="AV10" s="13">
        <v>0.23200000000000001</v>
      </c>
      <c r="AW10" s="11">
        <v>1100</v>
      </c>
      <c r="AX10" s="17">
        <f>IF(AX6&gt;0,INT(AX8+(AX6-F18)*(50/AX7)),0)</f>
        <v>0</v>
      </c>
      <c r="AY10" s="13">
        <f t="shared" si="9"/>
        <v>48.262999999999998</v>
      </c>
      <c r="AZ10" s="13">
        <v>0.79</v>
      </c>
      <c r="BA10" s="11">
        <v>1100</v>
      </c>
      <c r="BB10" s="17">
        <f>IF(BB6&gt;0,INT(BB8+(BB6-F20)*(50/BB7)),0)</f>
        <v>0</v>
      </c>
      <c r="BC10" s="13">
        <f t="shared" si="10"/>
        <v>487.8</v>
      </c>
      <c r="BD10" s="13">
        <v>8</v>
      </c>
      <c r="BE10" s="11">
        <v>1100</v>
      </c>
      <c r="BF10" s="17">
        <f>IF(BF6&gt;0,INT(BF8+(BF6-F22)*(50/BF7)),0)</f>
        <v>0</v>
      </c>
      <c r="BG10" s="13">
        <f t="shared" si="21"/>
        <v>1.3740000000000006</v>
      </c>
      <c r="BH10" s="13">
        <v>3.9000000000000097E-2</v>
      </c>
      <c r="BI10" s="11">
        <v>200</v>
      </c>
      <c r="BJ10" s="14">
        <f>IF(BJ7&gt;0,INT(BJ8+(F24-BJ6)*(50/BJ7)),0)</f>
        <v>0</v>
      </c>
      <c r="BK10" s="13">
        <f t="shared" si="11"/>
        <v>1.1599999999999997</v>
      </c>
      <c r="BL10" s="13">
        <v>2.5000000000000001E-2</v>
      </c>
      <c r="BM10" s="11">
        <v>200</v>
      </c>
      <c r="BN10" s="14">
        <f>IF(BN6&gt;0,INT(BN8+(F25-BN6)*(50/BN7)),0)</f>
        <v>0</v>
      </c>
      <c r="BO10" s="13">
        <f t="shared" si="22"/>
        <v>2.0100000000000002</v>
      </c>
      <c r="BP10" s="13">
        <v>0.14000000000000001</v>
      </c>
      <c r="BQ10" s="11">
        <v>200</v>
      </c>
      <c r="BR10" s="14">
        <f>IF(BR7&gt;0,INT(BR8+(F26-BR6)*(50/BR7)),0)</f>
        <v>0</v>
      </c>
      <c r="BS10" s="13">
        <f t="shared" si="12"/>
        <v>4.3100000000000005</v>
      </c>
      <c r="BT10" s="13">
        <v>0.19700000000000001</v>
      </c>
      <c r="BU10" s="11">
        <v>200</v>
      </c>
      <c r="BV10" s="14">
        <f>IF(BV7&gt;0,INT(BV8+(F27-BV6)*(50/BV7)),0)</f>
        <v>0</v>
      </c>
      <c r="BW10" s="13">
        <f t="shared" si="13"/>
        <v>2.3199999999999994</v>
      </c>
      <c r="BX10" s="13">
        <v>0.05</v>
      </c>
      <c r="BY10" s="11">
        <v>200</v>
      </c>
      <c r="BZ10" s="14">
        <f>IF(BZ7&gt;0,INT(BZ8+(F28-BZ6)*(50/BZ7)),0)</f>
        <v>0</v>
      </c>
      <c r="CA10" s="13">
        <f t="shared" si="14"/>
        <v>8.9190000000000005</v>
      </c>
      <c r="CB10" s="13">
        <v>0.40799999999999997</v>
      </c>
      <c r="CC10" s="11">
        <v>200</v>
      </c>
      <c r="CD10" s="14">
        <f>IF(CD7&gt;0,INT(CD8+(F29-CD6)*(50/CD7)),0)</f>
        <v>0</v>
      </c>
      <c r="CE10" s="13">
        <f t="shared" si="15"/>
        <v>6.9</v>
      </c>
      <c r="CF10" s="13">
        <v>0.57999999999999996</v>
      </c>
      <c r="CG10" s="23">
        <v>200</v>
      </c>
      <c r="CH10" s="14">
        <f>IF(CH7&gt;0,INT(CH8+(F31-CH6)*(50/CH7)),0)</f>
        <v>0</v>
      </c>
      <c r="CI10" s="13">
        <f t="shared" si="16"/>
        <v>19.499999999999996</v>
      </c>
      <c r="CJ10" s="13">
        <v>1.74</v>
      </c>
      <c r="CK10" s="23">
        <v>200</v>
      </c>
      <c r="CL10" s="14">
        <f>IF(CL7&gt;0,INT(CL8+(F32-CL6)*(50/CL7)),0)</f>
        <v>0</v>
      </c>
      <c r="CM10" s="13">
        <f t="shared" si="17"/>
        <v>16.77</v>
      </c>
      <c r="CN10" s="13">
        <v>2.16</v>
      </c>
      <c r="CO10" s="23">
        <v>200</v>
      </c>
      <c r="CP10" s="14">
        <f>IF(CP7&gt;0,INT(CP8+(F33-CP6)*(50/CP7)),0)</f>
        <v>0</v>
      </c>
      <c r="CQ10" s="13">
        <f t="shared" si="18"/>
        <v>22.799999999999997</v>
      </c>
      <c r="CR10" s="13">
        <v>2.6</v>
      </c>
      <c r="CS10" s="23">
        <v>200</v>
      </c>
      <c r="CT10" s="14">
        <f>IF(CT7&gt;0,INT(CT8+(F34-CT6)*(50/CT7)),0)</f>
        <v>0</v>
      </c>
      <c r="CU10" s="34">
        <v>1080</v>
      </c>
      <c r="CV10" s="34">
        <v>18</v>
      </c>
      <c r="CW10" s="11">
        <v>1100</v>
      </c>
      <c r="CX10" s="17">
        <f>IF(CX6&gt;0,INT(CX8+(CX6-F36)*(50/CX7)),0)</f>
        <v>0</v>
      </c>
      <c r="CY10" s="34">
        <v>2275</v>
      </c>
      <c r="CZ10" s="34">
        <v>37</v>
      </c>
      <c r="DA10" s="11">
        <v>1100</v>
      </c>
      <c r="DB10" s="17">
        <f>IF(DB6&gt;0,INT(DB8+(DB6-F37)*(50/DB7)),0)</f>
        <v>0</v>
      </c>
      <c r="DC10" s="34"/>
      <c r="DD10" s="50"/>
      <c r="DE10" s="50"/>
      <c r="DF10" s="50"/>
      <c r="DG10" s="50"/>
      <c r="DH10" s="50"/>
    </row>
    <row r="11" spans="1:114" ht="12.5" customHeight="1" x14ac:dyDescent="0.35">
      <c r="A11" s="2"/>
      <c r="B11" s="76" t="s">
        <v>36</v>
      </c>
      <c r="C11" s="29"/>
      <c r="D11" s="28" t="str">
        <f>IF(Z5&gt;=0,Z9,"")</f>
        <v/>
      </c>
      <c r="E11" s="20" t="str">
        <f>IF(Z5=1,"Feil i resultat?",IF(Z9=Z10,"","Inkonsistent."))</f>
        <v/>
      </c>
      <c r="F11" s="3">
        <f>INT(C11/10000)*60+(C11-INT(C11/10000)*10000)/100</f>
        <v>0</v>
      </c>
      <c r="G11" s="35">
        <v>6.6260000000000003</v>
      </c>
      <c r="H11" s="35">
        <f t="shared" si="19"/>
        <v>9.1000000000000192E-2</v>
      </c>
      <c r="I11" s="11">
        <v>1050</v>
      </c>
      <c r="J11" s="34"/>
      <c r="K11" s="13">
        <f t="shared" si="0"/>
        <v>10.253000000000002</v>
      </c>
      <c r="L11" s="13">
        <v>0.16200000000000001</v>
      </c>
      <c r="M11" s="11">
        <v>1050</v>
      </c>
      <c r="N11" s="24" t="s">
        <v>25</v>
      </c>
      <c r="O11" s="13">
        <f t="shared" si="1"/>
        <v>20.522999999999996</v>
      </c>
      <c r="P11" s="13">
        <v>0.34799999999999998</v>
      </c>
      <c r="Q11" s="11">
        <v>1050</v>
      </c>
      <c r="R11" s="24" t="s">
        <v>25</v>
      </c>
      <c r="S11" s="13">
        <f t="shared" si="2"/>
        <v>45.411000000000001</v>
      </c>
      <c r="T11" s="13">
        <v>0.745</v>
      </c>
      <c r="U11" s="11">
        <v>1050</v>
      </c>
      <c r="V11" s="25" t="s">
        <v>25</v>
      </c>
      <c r="W11" s="13">
        <f t="shared" si="3"/>
        <v>105.46000000000002</v>
      </c>
      <c r="X11" s="13">
        <v>1.5</v>
      </c>
      <c r="Y11" s="11">
        <v>1050</v>
      </c>
      <c r="Z11" s="13"/>
      <c r="AA11" s="13">
        <f t="shared" si="4"/>
        <v>215.46</v>
      </c>
      <c r="AB11" s="13">
        <v>3.24</v>
      </c>
      <c r="AC11" s="11">
        <v>1050</v>
      </c>
      <c r="AD11" s="13"/>
      <c r="AE11" s="13">
        <f t="shared" si="5"/>
        <v>462.12999999999994</v>
      </c>
      <c r="AF11" s="13">
        <v>7.9</v>
      </c>
      <c r="AG11" s="11">
        <v>1050</v>
      </c>
      <c r="AH11" s="11"/>
      <c r="AI11" s="13">
        <f t="shared" si="6"/>
        <v>798</v>
      </c>
      <c r="AJ11" s="13">
        <v>13.6</v>
      </c>
      <c r="AK11" s="11">
        <v>1050</v>
      </c>
      <c r="AL11" s="11"/>
      <c r="AM11" s="13">
        <f t="shared" si="7"/>
        <v>1662.7</v>
      </c>
      <c r="AN11" s="13">
        <v>29.5</v>
      </c>
      <c r="AO11" s="11">
        <v>1050</v>
      </c>
      <c r="AP11" s="11"/>
      <c r="AQ11" s="35">
        <v>7.6520000000000019</v>
      </c>
      <c r="AR11" s="35">
        <f t="shared" si="20"/>
        <v>0.14500000000000046</v>
      </c>
      <c r="AS11" s="11">
        <v>1050</v>
      </c>
      <c r="AT11" s="11"/>
      <c r="AU11" s="13">
        <f t="shared" si="8"/>
        <v>13.539999999999997</v>
      </c>
      <c r="AV11" s="13">
        <v>0.25</v>
      </c>
      <c r="AW11" s="11">
        <v>1050</v>
      </c>
      <c r="AX11" s="24" t="s">
        <v>25</v>
      </c>
      <c r="AY11" s="13">
        <f t="shared" si="9"/>
        <v>49.103999999999999</v>
      </c>
      <c r="AZ11" s="13">
        <v>0.84099999999999997</v>
      </c>
      <c r="BA11" s="11">
        <v>1050</v>
      </c>
      <c r="BB11" s="24" t="s">
        <v>26</v>
      </c>
      <c r="BC11" s="13">
        <f t="shared" si="10"/>
        <v>496.8</v>
      </c>
      <c r="BD11" s="13">
        <v>9</v>
      </c>
      <c r="BE11" s="11">
        <v>1050</v>
      </c>
      <c r="BF11" s="11"/>
      <c r="BG11" s="13">
        <f t="shared" si="21"/>
        <v>1.4130000000000007</v>
      </c>
      <c r="BH11" s="13">
        <v>4.1000000000000002E-2</v>
      </c>
      <c r="BI11" s="11">
        <v>250</v>
      </c>
      <c r="BJ11" s="11"/>
      <c r="BK11" s="13">
        <f t="shared" si="11"/>
        <v>1.1849999999999996</v>
      </c>
      <c r="BL11" s="13">
        <v>2.5999999999999999E-2</v>
      </c>
      <c r="BM11" s="11">
        <v>250</v>
      </c>
      <c r="BN11" s="11"/>
      <c r="BO11" s="13">
        <f t="shared" si="22"/>
        <v>2.1500000000000004</v>
      </c>
      <c r="BP11" s="13">
        <v>0.15</v>
      </c>
      <c r="BQ11" s="11">
        <v>250</v>
      </c>
      <c r="BR11" s="11"/>
      <c r="BS11" s="13">
        <f t="shared" si="12"/>
        <v>4.5070000000000006</v>
      </c>
      <c r="BT11" s="13">
        <v>0.2</v>
      </c>
      <c r="BU11" s="11">
        <v>250</v>
      </c>
      <c r="BV11" s="11"/>
      <c r="BW11" s="13">
        <f t="shared" si="13"/>
        <v>2.3699999999999992</v>
      </c>
      <c r="BX11" s="13">
        <v>5.1999999999999998E-2</v>
      </c>
      <c r="BY11" s="11">
        <v>250</v>
      </c>
      <c r="BZ11" s="11"/>
      <c r="CA11" s="13">
        <f t="shared" si="14"/>
        <v>9.327</v>
      </c>
      <c r="CB11" s="13">
        <v>0.41399999999999998</v>
      </c>
      <c r="CC11" s="11">
        <v>250</v>
      </c>
      <c r="CD11" s="11"/>
      <c r="CE11" s="13">
        <f t="shared" si="15"/>
        <v>7.48</v>
      </c>
      <c r="CF11" s="13">
        <v>0.6</v>
      </c>
      <c r="CG11" s="23">
        <v>250</v>
      </c>
      <c r="CH11" s="11"/>
      <c r="CI11" s="13">
        <f t="shared" si="16"/>
        <v>21.239999999999995</v>
      </c>
      <c r="CJ11" s="13">
        <v>1.79</v>
      </c>
      <c r="CK11" s="23">
        <v>250</v>
      </c>
      <c r="CL11" s="11"/>
      <c r="CM11" s="13">
        <f t="shared" si="17"/>
        <v>18.93</v>
      </c>
      <c r="CN11" s="13">
        <v>2.34</v>
      </c>
      <c r="CO11" s="23">
        <v>250</v>
      </c>
      <c r="CP11" s="11"/>
      <c r="CQ11" s="13">
        <f t="shared" si="18"/>
        <v>25.4</v>
      </c>
      <c r="CR11" s="13">
        <v>2.8</v>
      </c>
      <c r="CS11" s="23">
        <v>250</v>
      </c>
      <c r="CT11" s="11"/>
      <c r="CU11" s="34">
        <v>1100</v>
      </c>
      <c r="CV11" s="34">
        <v>20</v>
      </c>
      <c r="CW11" s="11">
        <v>1050</v>
      </c>
      <c r="CX11" s="34"/>
      <c r="CY11" s="34">
        <v>2317</v>
      </c>
      <c r="CZ11" s="34">
        <v>42</v>
      </c>
      <c r="DA11" s="11">
        <v>1050</v>
      </c>
      <c r="DB11" s="34"/>
      <c r="DC11" s="34"/>
      <c r="DD11" s="50"/>
      <c r="DE11" s="50"/>
      <c r="DF11" s="50"/>
      <c r="DG11" s="50"/>
      <c r="DH11" s="50"/>
    </row>
    <row r="12" spans="1:114" ht="12.5" customHeight="1" x14ac:dyDescent="0.35">
      <c r="A12" s="2"/>
      <c r="B12" s="45" t="s">
        <v>37</v>
      </c>
      <c r="C12" s="29"/>
      <c r="D12" s="28" t="str">
        <f>IF(AD5&gt;=0,AD9,"")</f>
        <v/>
      </c>
      <c r="E12" s="20" t="str">
        <f>IF(AD5=1,"Feil i resultat?",IF(AD9=AD10,"","Inkonsistent."))</f>
        <v/>
      </c>
      <c r="F12" s="3">
        <f>INT(C12/10000)*60+(C12-INT(C12/10000)*10000)/100</f>
        <v>0</v>
      </c>
      <c r="G12" s="35">
        <v>6.7200000000000006</v>
      </c>
      <c r="H12" s="35">
        <f t="shared" si="19"/>
        <v>9.4000000000000306E-2</v>
      </c>
      <c r="I12" s="11">
        <v>1000</v>
      </c>
      <c r="J12" s="34"/>
      <c r="K12" s="13">
        <f t="shared" si="0"/>
        <v>10.421000000000001</v>
      </c>
      <c r="L12" s="13">
        <v>0.16800000000000001</v>
      </c>
      <c r="M12" s="11">
        <v>1000</v>
      </c>
      <c r="N12" s="14">
        <f>IF(F6="",-1,IF(F6&lt;0,-1,IF(F6=0,-1,IF(F6&lt;9.3,1,IF(F6&gt;15.9,1,0)))))</f>
        <v>-1</v>
      </c>
      <c r="O12" s="13">
        <f t="shared" si="1"/>
        <v>20.887999999999995</v>
      </c>
      <c r="P12" s="13">
        <v>0.36499999999999999</v>
      </c>
      <c r="Q12" s="11">
        <v>1000</v>
      </c>
      <c r="R12" s="14">
        <f>IF(F8="",-1,IF(F8&lt;0,-1,IF(F8=0,-1,IF(F8&lt;18.7,1,IF(F8&gt;34.2,1,0)))))</f>
        <v>-1</v>
      </c>
      <c r="S12" s="13">
        <f t="shared" si="2"/>
        <v>46.189</v>
      </c>
      <c r="T12" s="13">
        <v>0.77800000000000002</v>
      </c>
      <c r="U12" s="11">
        <v>1000</v>
      </c>
      <c r="V12" s="14">
        <f>IF(F10="",-1,IF(F10&lt;0,-1,IF(F10=0,-1,IF(F10&lt;41.8,1,IF(F10&gt;78.2,1,0)))))</f>
        <v>-1</v>
      </c>
      <c r="W12" s="13">
        <f t="shared" si="3"/>
        <v>107.07000000000002</v>
      </c>
      <c r="X12" s="13">
        <v>1.61</v>
      </c>
      <c r="Y12" s="11">
        <v>1000</v>
      </c>
      <c r="Z12" s="22"/>
      <c r="AA12" s="13">
        <f t="shared" si="4"/>
        <v>218.96</v>
      </c>
      <c r="AB12" s="13">
        <v>3.5</v>
      </c>
      <c r="AC12" s="11">
        <v>1000</v>
      </c>
      <c r="AD12" s="22"/>
      <c r="AE12" s="13">
        <f t="shared" si="5"/>
        <v>471.02999999999992</v>
      </c>
      <c r="AF12" s="13">
        <v>8.9</v>
      </c>
      <c r="AG12" s="11">
        <v>1000</v>
      </c>
      <c r="AH12" s="11"/>
      <c r="AI12" s="13">
        <f t="shared" si="6"/>
        <v>812.9</v>
      </c>
      <c r="AJ12" s="13">
        <v>14.9</v>
      </c>
      <c r="AK12" s="11">
        <v>1000</v>
      </c>
      <c r="AL12" s="11"/>
      <c r="AM12" s="13">
        <f t="shared" si="7"/>
        <v>1695.4</v>
      </c>
      <c r="AN12" s="13">
        <v>32.700000000000003</v>
      </c>
      <c r="AO12" s="11">
        <v>1000</v>
      </c>
      <c r="AP12" s="11"/>
      <c r="AQ12" s="35">
        <v>7.8090000000000019</v>
      </c>
      <c r="AR12" s="35">
        <f t="shared" si="20"/>
        <v>0.15700000000000003</v>
      </c>
      <c r="AS12" s="11">
        <v>1000</v>
      </c>
      <c r="AT12" s="34"/>
      <c r="AU12" s="13">
        <f t="shared" si="8"/>
        <v>13.809999999999997</v>
      </c>
      <c r="AV12" s="13">
        <v>0.27</v>
      </c>
      <c r="AW12" s="11">
        <v>1000</v>
      </c>
      <c r="AX12" s="17">
        <f>IF(F19="",-1,IF(F19&lt;0,-1,IF(F19=0,-1,IF(F19&lt;12.3,1,IF(F19&gt;31.5,1,0)))))</f>
        <v>-1</v>
      </c>
      <c r="AY12" s="13">
        <f t="shared" si="9"/>
        <v>50.003</v>
      </c>
      <c r="AZ12" s="13">
        <v>0.89900000000000002</v>
      </c>
      <c r="BA12" s="11">
        <v>1000</v>
      </c>
      <c r="BB12" s="17">
        <f>IF(F21="",-1,IF(F21&lt;0,-1,IF(F21=0,-1,IF(F21&lt;45.2,1,IF(F21&gt;106.3,1,0)))))</f>
        <v>-1</v>
      </c>
      <c r="BC12" s="13">
        <f t="shared" si="10"/>
        <v>507.1</v>
      </c>
      <c r="BD12" s="13">
        <v>10.3</v>
      </c>
      <c r="BE12" s="11">
        <v>1000</v>
      </c>
      <c r="BF12" s="14"/>
      <c r="BG12" s="13">
        <f t="shared" si="21"/>
        <v>1.4540000000000006</v>
      </c>
      <c r="BH12" s="13">
        <v>4.2999999999999997E-2</v>
      </c>
      <c r="BI12" s="11">
        <v>300</v>
      </c>
      <c r="BJ12" s="14"/>
      <c r="BK12" s="13">
        <f t="shared" si="11"/>
        <v>1.2109999999999996</v>
      </c>
      <c r="BL12" s="13">
        <v>2.8000000000000001E-2</v>
      </c>
      <c r="BM12" s="11">
        <v>300</v>
      </c>
      <c r="BN12" s="11"/>
      <c r="BO12" s="13">
        <f t="shared" si="22"/>
        <v>2.3000000000000003</v>
      </c>
      <c r="BP12" s="13">
        <v>0.16</v>
      </c>
      <c r="BQ12" s="11">
        <v>300</v>
      </c>
      <c r="BR12" s="11"/>
      <c r="BS12" s="13">
        <f t="shared" si="12"/>
        <v>4.7070000000000007</v>
      </c>
      <c r="BT12" s="13">
        <v>0.20300000000000001</v>
      </c>
      <c r="BU12" s="11">
        <v>300</v>
      </c>
      <c r="BV12" s="11"/>
      <c r="BW12" s="13">
        <f t="shared" si="13"/>
        <v>2.4219999999999993</v>
      </c>
      <c r="BX12" s="13">
        <v>5.6000000000000001E-2</v>
      </c>
      <c r="BY12" s="11">
        <v>300</v>
      </c>
      <c r="BZ12" s="11"/>
      <c r="CA12" s="13">
        <f t="shared" si="14"/>
        <v>9.7409999999999997</v>
      </c>
      <c r="CB12" s="13">
        <v>0.42099999999999999</v>
      </c>
      <c r="CC12" s="11">
        <v>300</v>
      </c>
      <c r="CD12" s="11"/>
      <c r="CE12" s="13">
        <f t="shared" si="15"/>
        <v>8.08</v>
      </c>
      <c r="CF12" s="13">
        <v>0.62</v>
      </c>
      <c r="CG12" s="23">
        <v>300</v>
      </c>
      <c r="CH12" s="11"/>
      <c r="CI12" s="13">
        <f t="shared" si="16"/>
        <v>23.029999999999994</v>
      </c>
      <c r="CJ12" s="13">
        <v>1.85</v>
      </c>
      <c r="CK12" s="23">
        <v>300</v>
      </c>
      <c r="CL12" s="11"/>
      <c r="CM12" s="13">
        <f t="shared" si="17"/>
        <v>21.27</v>
      </c>
      <c r="CN12" s="13">
        <v>2.52</v>
      </c>
      <c r="CO12" s="23">
        <v>300</v>
      </c>
      <c r="CP12" s="11"/>
      <c r="CQ12" s="13">
        <f t="shared" si="18"/>
        <v>28.2</v>
      </c>
      <c r="CR12" s="13">
        <v>2.95</v>
      </c>
      <c r="CS12" s="23">
        <v>300</v>
      </c>
      <c r="CT12" s="11"/>
      <c r="CU12" s="34">
        <v>1121</v>
      </c>
      <c r="CV12" s="34">
        <v>21</v>
      </c>
      <c r="CW12" s="11">
        <v>1000</v>
      </c>
      <c r="CX12" s="34"/>
      <c r="CY12" s="34">
        <v>2362</v>
      </c>
      <c r="CZ12" s="34">
        <v>45</v>
      </c>
      <c r="DA12" s="11">
        <v>1000</v>
      </c>
      <c r="DB12" s="34"/>
      <c r="DC12" s="34"/>
      <c r="DD12" s="50"/>
      <c r="DE12" s="50"/>
      <c r="DF12" s="50"/>
      <c r="DG12" s="50"/>
      <c r="DH12" s="50"/>
      <c r="DJ12" s="2"/>
    </row>
    <row r="13" spans="1:114" ht="12.5" customHeight="1" x14ac:dyDescent="0.35">
      <c r="A13" s="2"/>
      <c r="B13" s="45" t="s">
        <v>38</v>
      </c>
      <c r="C13" s="29"/>
      <c r="D13" s="28" t="str">
        <f>IF(AH5&gt;=0,AH9,"")</f>
        <v/>
      </c>
      <c r="E13" s="20" t="str">
        <f>IF(AH5=1,"Feil i resultat?",IF(AH9=AH10,"",""))</f>
        <v/>
      </c>
      <c r="F13" s="3">
        <f>INT(C13/10000)*60+(C13-INT(C13/10000)*10000)/100</f>
        <v>0</v>
      </c>
      <c r="G13" s="35">
        <v>6.8180000000000005</v>
      </c>
      <c r="H13" s="35">
        <f t="shared" si="19"/>
        <v>9.7999999999999865E-2</v>
      </c>
      <c r="I13" s="11">
        <v>950</v>
      </c>
      <c r="J13" s="34"/>
      <c r="K13" s="13">
        <f t="shared" si="0"/>
        <v>10.596000000000002</v>
      </c>
      <c r="L13" s="13">
        <v>0.17499999999999999</v>
      </c>
      <c r="M13" s="11">
        <v>950</v>
      </c>
      <c r="N13" s="11">
        <v>0.24</v>
      </c>
      <c r="O13" s="13">
        <f t="shared" si="1"/>
        <v>21.270999999999994</v>
      </c>
      <c r="P13" s="13">
        <v>0.38300000000000001</v>
      </c>
      <c r="Q13" s="11">
        <v>950</v>
      </c>
      <c r="R13" s="11">
        <v>0.24</v>
      </c>
      <c r="S13" s="13">
        <f t="shared" si="2"/>
        <v>47.003</v>
      </c>
      <c r="T13" s="13">
        <v>0.81399999999999995</v>
      </c>
      <c r="U13" s="11">
        <v>950</v>
      </c>
      <c r="V13" s="13">
        <v>0.14000000000000001</v>
      </c>
      <c r="W13" s="13">
        <f t="shared" si="3"/>
        <v>108.79500000000002</v>
      </c>
      <c r="X13" s="13">
        <v>1.7250000000000001</v>
      </c>
      <c r="Y13" s="11">
        <v>950</v>
      </c>
      <c r="Z13" s="13"/>
      <c r="AA13" s="13">
        <f t="shared" si="4"/>
        <v>222.76000000000002</v>
      </c>
      <c r="AB13" s="13">
        <v>3.8</v>
      </c>
      <c r="AC13" s="11">
        <v>950</v>
      </c>
      <c r="AD13" s="13"/>
      <c r="AE13" s="13">
        <f t="shared" si="5"/>
        <v>481.02999999999992</v>
      </c>
      <c r="AF13" s="13">
        <v>10</v>
      </c>
      <c r="AG13" s="11">
        <v>950</v>
      </c>
      <c r="AH13" s="11"/>
      <c r="AI13" s="13">
        <f t="shared" si="6"/>
        <v>829.4</v>
      </c>
      <c r="AJ13" s="13">
        <v>16.5</v>
      </c>
      <c r="AK13" s="11">
        <v>950</v>
      </c>
      <c r="AL13" s="11"/>
      <c r="AM13" s="13">
        <f t="shared" si="7"/>
        <v>1731.7</v>
      </c>
      <c r="AN13" s="13">
        <v>36.299999999999997</v>
      </c>
      <c r="AO13" s="11">
        <v>950</v>
      </c>
      <c r="AP13" s="11"/>
      <c r="AQ13" s="35">
        <v>7.9800000000000022</v>
      </c>
      <c r="AR13" s="35">
        <f t="shared" si="20"/>
        <v>0.17100000000000026</v>
      </c>
      <c r="AS13" s="11">
        <v>950</v>
      </c>
      <c r="AT13" s="34"/>
      <c r="AU13" s="13">
        <f t="shared" si="8"/>
        <v>14.101999999999997</v>
      </c>
      <c r="AV13" s="13">
        <v>0.29199999999999998</v>
      </c>
      <c r="AW13" s="11">
        <v>950</v>
      </c>
      <c r="AX13" s="11">
        <v>0.24</v>
      </c>
      <c r="AY13" s="13">
        <f t="shared" si="9"/>
        <v>50.968000000000004</v>
      </c>
      <c r="AZ13" s="13">
        <v>0.96499999999999997</v>
      </c>
      <c r="BA13" s="11">
        <v>950</v>
      </c>
      <c r="BB13" s="11">
        <v>0.14000000000000001</v>
      </c>
      <c r="BC13" s="13">
        <f t="shared" si="10"/>
        <v>518.80000000000007</v>
      </c>
      <c r="BD13" s="13">
        <v>11.7</v>
      </c>
      <c r="BE13" s="11">
        <v>950</v>
      </c>
      <c r="BF13" s="11"/>
      <c r="BG13" s="13">
        <f t="shared" si="21"/>
        <v>1.4970000000000006</v>
      </c>
      <c r="BH13" s="13">
        <v>4.4999999999999998E-2</v>
      </c>
      <c r="BI13" s="11">
        <v>350</v>
      </c>
      <c r="BJ13" s="11"/>
      <c r="BK13" s="13">
        <f t="shared" si="11"/>
        <v>1.2389999999999997</v>
      </c>
      <c r="BL13" s="13">
        <v>3.2000000000000001E-2</v>
      </c>
      <c r="BM13" s="11">
        <v>350</v>
      </c>
      <c r="BN13" s="11"/>
      <c r="BO13" s="13">
        <f t="shared" si="22"/>
        <v>2.4600000000000004</v>
      </c>
      <c r="BP13" s="13">
        <v>0.17</v>
      </c>
      <c r="BQ13" s="11">
        <v>350</v>
      </c>
      <c r="BR13" s="11"/>
      <c r="BS13" s="13">
        <f t="shared" si="12"/>
        <v>4.910000000000001</v>
      </c>
      <c r="BT13" s="13">
        <v>0.20599999999999999</v>
      </c>
      <c r="BU13" s="11">
        <v>350</v>
      </c>
      <c r="BV13" s="11"/>
      <c r="BW13" s="13">
        <f t="shared" si="13"/>
        <v>2.4779999999999993</v>
      </c>
      <c r="BX13" s="13">
        <v>6.4000000000000001E-2</v>
      </c>
      <c r="BY13" s="11">
        <v>350</v>
      </c>
      <c r="BZ13" s="11"/>
      <c r="CA13" s="13">
        <f t="shared" si="14"/>
        <v>10.161999999999999</v>
      </c>
      <c r="CB13" s="13">
        <v>0.42699999999999999</v>
      </c>
      <c r="CC13" s="11">
        <v>350</v>
      </c>
      <c r="CD13" s="11"/>
      <c r="CE13" s="13">
        <f t="shared" si="15"/>
        <v>8.6999999999999993</v>
      </c>
      <c r="CF13" s="13">
        <v>0.64</v>
      </c>
      <c r="CG13" s="23">
        <v>350</v>
      </c>
      <c r="CH13" s="11"/>
      <c r="CI13" s="13">
        <f t="shared" si="16"/>
        <v>24.879999999999995</v>
      </c>
      <c r="CJ13" s="13">
        <v>1.92</v>
      </c>
      <c r="CK13" s="23">
        <v>350</v>
      </c>
      <c r="CL13" s="11"/>
      <c r="CM13" s="13">
        <f t="shared" si="17"/>
        <v>23.79</v>
      </c>
      <c r="CN13" s="13">
        <v>2.7</v>
      </c>
      <c r="CO13" s="23">
        <v>350</v>
      </c>
      <c r="CP13" s="11"/>
      <c r="CQ13" s="13">
        <f t="shared" si="18"/>
        <v>31.15</v>
      </c>
      <c r="CR13" s="13">
        <v>3.1</v>
      </c>
      <c r="CS13" s="23">
        <v>350</v>
      </c>
      <c r="CT13" s="11"/>
      <c r="CU13" s="34">
        <v>1145</v>
      </c>
      <c r="CV13" s="34">
        <v>24</v>
      </c>
      <c r="CW13" s="11">
        <v>950</v>
      </c>
      <c r="CX13" s="34"/>
      <c r="CY13" s="34">
        <v>2413</v>
      </c>
      <c r="CZ13" s="34">
        <v>51</v>
      </c>
      <c r="DA13" s="11">
        <v>950</v>
      </c>
      <c r="DB13" s="34"/>
      <c r="DC13" s="34"/>
      <c r="DD13" s="68" t="s">
        <v>62</v>
      </c>
      <c r="DE13" s="50"/>
      <c r="DF13" s="50"/>
      <c r="DG13" s="50"/>
      <c r="DH13" s="50"/>
    </row>
    <row r="14" spans="1:114" ht="12.5" customHeight="1" x14ac:dyDescent="0.35">
      <c r="A14" s="2"/>
      <c r="B14" s="45" t="s">
        <v>39</v>
      </c>
      <c r="C14" s="29"/>
      <c r="D14" s="28" t="str">
        <f>IF(AL5&gt;=0,AL9,"")</f>
        <v/>
      </c>
      <c r="E14" s="20" t="str">
        <f>IF(AL5=1,"Feil i resultat?",IF(AL9=AL10,"",""))</f>
        <v/>
      </c>
      <c r="F14" s="3">
        <f>INT(C14/10000)*60+(C14-INT(C14/10000)*10000)/100</f>
        <v>0</v>
      </c>
      <c r="G14" s="35">
        <v>6.9210000000000003</v>
      </c>
      <c r="H14" s="35">
        <f t="shared" si="19"/>
        <v>0.10299999999999976</v>
      </c>
      <c r="I14" s="11">
        <v>900</v>
      </c>
      <c r="J14" s="34"/>
      <c r="K14" s="13">
        <f t="shared" si="0"/>
        <v>10.778000000000002</v>
      </c>
      <c r="L14" s="13">
        <v>0.182</v>
      </c>
      <c r="M14" s="11">
        <v>900</v>
      </c>
      <c r="N14" s="13">
        <f>IF(N12&lt;0,0,LOOKUP(F6+N13,K4:K32,K5:K33))</f>
        <v>0</v>
      </c>
      <c r="O14" s="13">
        <f t="shared" si="1"/>
        <v>21.671999999999993</v>
      </c>
      <c r="P14" s="13">
        <v>0.40100000000000002</v>
      </c>
      <c r="Q14" s="11">
        <v>900</v>
      </c>
      <c r="R14" s="13">
        <f>IF(R12&lt;0,0,LOOKUP(F8+R13,O4:O32,O5:O33))</f>
        <v>0</v>
      </c>
      <c r="S14" s="13">
        <f t="shared" si="2"/>
        <v>47.856000000000002</v>
      </c>
      <c r="T14" s="13">
        <v>0.85299999999999998</v>
      </c>
      <c r="U14" s="11">
        <v>900</v>
      </c>
      <c r="V14" s="13">
        <f>IF(V12&lt;0,0,LOOKUP(F10+V13,S4:S32,S5:S33))</f>
        <v>0</v>
      </c>
      <c r="W14" s="13">
        <f t="shared" si="3"/>
        <v>110.64000000000001</v>
      </c>
      <c r="X14" s="13">
        <v>1.845</v>
      </c>
      <c r="Y14" s="11">
        <v>900</v>
      </c>
      <c r="Z14" s="13"/>
      <c r="AA14" s="13">
        <f t="shared" si="4"/>
        <v>226.87000000000003</v>
      </c>
      <c r="AB14" s="13">
        <v>4.1100000000000003</v>
      </c>
      <c r="AC14" s="11">
        <v>900</v>
      </c>
      <c r="AD14" s="13"/>
      <c r="AE14" s="13">
        <f t="shared" si="5"/>
        <v>491.42999999999989</v>
      </c>
      <c r="AF14" s="13">
        <v>10.4</v>
      </c>
      <c r="AG14" s="11">
        <v>900</v>
      </c>
      <c r="AH14" s="11"/>
      <c r="AI14" s="13">
        <f t="shared" si="6"/>
        <v>847.5</v>
      </c>
      <c r="AJ14" s="13">
        <v>18.100000000000001</v>
      </c>
      <c r="AK14" s="11">
        <v>900</v>
      </c>
      <c r="AL14" s="11"/>
      <c r="AM14" s="13">
        <f t="shared" si="7"/>
        <v>1771.2</v>
      </c>
      <c r="AN14" s="13">
        <v>39.5</v>
      </c>
      <c r="AO14" s="11">
        <v>900</v>
      </c>
      <c r="AP14" s="11"/>
      <c r="AQ14" s="35">
        <v>8.1650000000000027</v>
      </c>
      <c r="AR14" s="35">
        <f t="shared" si="20"/>
        <v>0.1850000000000005</v>
      </c>
      <c r="AS14" s="11">
        <v>900</v>
      </c>
      <c r="AT14" s="34"/>
      <c r="AU14" s="13">
        <f t="shared" si="8"/>
        <v>14.417999999999997</v>
      </c>
      <c r="AV14" s="13">
        <v>0.316</v>
      </c>
      <c r="AW14" s="11">
        <v>900</v>
      </c>
      <c r="AX14" s="13">
        <f>IF(AX12&lt;0,0,LOOKUP(F19+AX13,AU4:AU32,AU5:AU33))</f>
        <v>0</v>
      </c>
      <c r="AY14" s="13">
        <f t="shared" si="9"/>
        <v>52.008000000000003</v>
      </c>
      <c r="AZ14" s="13">
        <v>1.04</v>
      </c>
      <c r="BA14" s="11">
        <v>900</v>
      </c>
      <c r="BB14" s="13">
        <f>IF(BB12&lt;0,0,LOOKUP(F21+BB13,AY4:AY32,AY5:AY33))</f>
        <v>0</v>
      </c>
      <c r="BC14" s="13">
        <f t="shared" si="10"/>
        <v>531.1</v>
      </c>
      <c r="BD14" s="13">
        <v>12.3</v>
      </c>
      <c r="BE14" s="11">
        <v>900</v>
      </c>
      <c r="BF14" s="13"/>
      <c r="BG14" s="13">
        <f t="shared" si="21"/>
        <v>1.5420000000000005</v>
      </c>
      <c r="BH14" s="13">
        <v>4.7E-2</v>
      </c>
      <c r="BI14" s="11">
        <v>400</v>
      </c>
      <c r="BJ14" s="13"/>
      <c r="BK14" s="13">
        <f t="shared" si="11"/>
        <v>1.2709999999999997</v>
      </c>
      <c r="BL14" s="13">
        <v>3.5999999999999997E-2</v>
      </c>
      <c r="BM14" s="11">
        <v>400</v>
      </c>
      <c r="BN14" s="11"/>
      <c r="BO14" s="13">
        <f t="shared" si="22"/>
        <v>2.6300000000000003</v>
      </c>
      <c r="BP14" s="13">
        <v>0.18</v>
      </c>
      <c r="BQ14" s="11">
        <v>400</v>
      </c>
      <c r="BR14" s="11"/>
      <c r="BS14" s="13">
        <f t="shared" si="12"/>
        <v>5.1160000000000014</v>
      </c>
      <c r="BT14" s="13">
        <v>0.20899999999999999</v>
      </c>
      <c r="BU14" s="11">
        <v>400</v>
      </c>
      <c r="BV14" s="11"/>
      <c r="BW14" s="13">
        <f t="shared" si="13"/>
        <v>2.5419999999999994</v>
      </c>
      <c r="BX14" s="13">
        <v>7.1999999999999995E-2</v>
      </c>
      <c r="BY14" s="11">
        <v>400</v>
      </c>
      <c r="BZ14" s="11"/>
      <c r="CA14" s="13">
        <f t="shared" si="14"/>
        <v>10.588999999999999</v>
      </c>
      <c r="CB14" s="13">
        <v>0.433</v>
      </c>
      <c r="CC14" s="11">
        <v>400</v>
      </c>
      <c r="CD14" s="11"/>
      <c r="CE14" s="13">
        <f t="shared" si="15"/>
        <v>9.34</v>
      </c>
      <c r="CF14" s="13">
        <v>0.66</v>
      </c>
      <c r="CG14" s="23">
        <v>400</v>
      </c>
      <c r="CH14" s="11"/>
      <c r="CI14" s="13">
        <f t="shared" si="16"/>
        <v>26.799999999999997</v>
      </c>
      <c r="CJ14" s="13">
        <v>2</v>
      </c>
      <c r="CK14" s="23">
        <v>400</v>
      </c>
      <c r="CL14" s="11"/>
      <c r="CM14" s="13">
        <f t="shared" si="17"/>
        <v>26.49</v>
      </c>
      <c r="CN14" s="13">
        <v>2.87</v>
      </c>
      <c r="CO14" s="23">
        <v>400</v>
      </c>
      <c r="CP14" s="11"/>
      <c r="CQ14" s="13">
        <f t="shared" si="18"/>
        <v>34.25</v>
      </c>
      <c r="CR14" s="13">
        <v>3.25</v>
      </c>
      <c r="CS14" s="23">
        <v>400</v>
      </c>
      <c r="CT14" s="11"/>
      <c r="CU14" s="34">
        <v>1171</v>
      </c>
      <c r="CV14" s="34">
        <v>26</v>
      </c>
      <c r="CW14" s="11">
        <v>900</v>
      </c>
      <c r="CX14" s="34"/>
      <c r="CY14" s="34">
        <v>2468</v>
      </c>
      <c r="CZ14" s="34">
        <v>55</v>
      </c>
      <c r="DA14" s="11">
        <v>900</v>
      </c>
      <c r="DB14" s="34"/>
      <c r="DC14" s="34"/>
      <c r="DD14" s="68" t="s">
        <v>63</v>
      </c>
      <c r="DE14" s="50"/>
      <c r="DF14" s="50"/>
      <c r="DG14" s="50"/>
      <c r="DH14" s="50"/>
    </row>
    <row r="15" spans="1:114" ht="12.5" customHeight="1" x14ac:dyDescent="0.35">
      <c r="A15" s="2"/>
      <c r="B15" s="77" t="s">
        <v>40</v>
      </c>
      <c r="C15" s="59"/>
      <c r="D15" s="28" t="str">
        <f>IF(AP5&gt;=0,AP9,"")</f>
        <v/>
      </c>
      <c r="E15" s="20" t="str">
        <f>IF(AP5=1,"Feil i resultat?",IF(AP9=AP10,"","Inkonsistent."))</f>
        <v/>
      </c>
      <c r="F15" s="3">
        <f>INT(C15/1000000)*60*60+INT(INT(C15-INT(C15/1000000)*1000000)/10000)*60+(C15-INT(C15/10000)*10000)/100</f>
        <v>0</v>
      </c>
      <c r="G15" s="35">
        <v>7.03</v>
      </c>
      <c r="H15" s="35">
        <f t="shared" si="19"/>
        <v>0.10899999999999999</v>
      </c>
      <c r="I15" s="11">
        <v>850</v>
      </c>
      <c r="J15" s="34"/>
      <c r="K15" s="13">
        <f t="shared" si="0"/>
        <v>10.968000000000002</v>
      </c>
      <c r="L15" s="13">
        <v>0.19</v>
      </c>
      <c r="M15" s="11">
        <v>850</v>
      </c>
      <c r="N15" s="11">
        <f>IF(N14&gt;0,LOOKUP(F6+N13,K4:K32,L5:L33),0)</f>
        <v>0</v>
      </c>
      <c r="O15" s="13">
        <f t="shared" si="1"/>
        <v>22.091999999999995</v>
      </c>
      <c r="P15" s="13">
        <v>0.42</v>
      </c>
      <c r="Q15" s="11">
        <v>850</v>
      </c>
      <c r="R15" s="11">
        <f>IF(R14&gt;0,LOOKUP(F8+R13,O4:O32,P5:P33),0)</f>
        <v>0</v>
      </c>
      <c r="S15" s="13">
        <f t="shared" si="2"/>
        <v>48.753</v>
      </c>
      <c r="T15" s="13">
        <v>0.89700000000000002</v>
      </c>
      <c r="U15" s="11">
        <v>850</v>
      </c>
      <c r="V15" s="13">
        <f>IF(V14&gt;0,LOOKUP(F10+V13,S4:S32,T5:T33),0)</f>
        <v>0</v>
      </c>
      <c r="W15" s="13">
        <f t="shared" si="3"/>
        <v>112.61000000000001</v>
      </c>
      <c r="X15" s="13">
        <v>1.97</v>
      </c>
      <c r="Y15" s="11">
        <v>850</v>
      </c>
      <c r="Z15" s="13"/>
      <c r="AA15" s="13">
        <f t="shared" si="4"/>
        <v>231.30000000000004</v>
      </c>
      <c r="AB15" s="13">
        <v>4.43</v>
      </c>
      <c r="AC15" s="11">
        <v>850</v>
      </c>
      <c r="AD15" s="13"/>
      <c r="AE15" s="13">
        <f t="shared" si="5"/>
        <v>502.02999999999992</v>
      </c>
      <c r="AF15" s="13">
        <v>10.6</v>
      </c>
      <c r="AG15" s="11">
        <v>850</v>
      </c>
      <c r="AH15" s="11"/>
      <c r="AI15" s="13">
        <f t="shared" si="6"/>
        <v>867</v>
      </c>
      <c r="AJ15" s="13">
        <v>19.5</v>
      </c>
      <c r="AK15" s="11">
        <v>850</v>
      </c>
      <c r="AL15" s="11"/>
      <c r="AM15" s="13">
        <f t="shared" si="7"/>
        <v>1813.9</v>
      </c>
      <c r="AN15" s="13">
        <v>42.7</v>
      </c>
      <c r="AO15" s="11">
        <v>850</v>
      </c>
      <c r="AP15" s="11"/>
      <c r="AQ15" s="35">
        <v>8.3660000000000014</v>
      </c>
      <c r="AR15" s="35">
        <f t="shared" si="20"/>
        <v>0.20099999999999874</v>
      </c>
      <c r="AS15" s="11">
        <v>850</v>
      </c>
      <c r="AT15" s="34"/>
      <c r="AU15" s="13">
        <f t="shared" si="8"/>
        <v>14.761999999999997</v>
      </c>
      <c r="AV15" s="13">
        <v>0.34399999999999997</v>
      </c>
      <c r="AW15" s="11">
        <v>850</v>
      </c>
      <c r="AX15" s="11">
        <f>IF(AX14&gt;0,LOOKUP(F19+AX13,AU4:AU32,AV5:AV33),0)</f>
        <v>0</v>
      </c>
      <c r="AY15" s="13">
        <f t="shared" si="9"/>
        <v>53.135000000000005</v>
      </c>
      <c r="AZ15" s="13">
        <v>1.127</v>
      </c>
      <c r="BA15" s="11">
        <v>850</v>
      </c>
      <c r="BB15" s="11" t="str">
        <f>IF(BB14&gt;0,LOOKUP(F21+BB13,AY4:AY32,AZ5:AZ33),"")</f>
        <v/>
      </c>
      <c r="BC15" s="13">
        <f t="shared" si="10"/>
        <v>543.9</v>
      </c>
      <c r="BD15" s="13">
        <v>12.8</v>
      </c>
      <c r="BE15" s="11">
        <v>850</v>
      </c>
      <c r="BF15" s="11"/>
      <c r="BG15" s="13">
        <f t="shared" si="21"/>
        <v>1.5890000000000004</v>
      </c>
      <c r="BH15" s="13">
        <v>4.9000000000000002E-2</v>
      </c>
      <c r="BI15" s="11">
        <v>450</v>
      </c>
      <c r="BJ15" s="11"/>
      <c r="BK15" s="13">
        <f t="shared" si="11"/>
        <v>1.3069999999999997</v>
      </c>
      <c r="BL15" s="13">
        <v>0.04</v>
      </c>
      <c r="BM15" s="11">
        <v>450</v>
      </c>
      <c r="BN15" s="11"/>
      <c r="BO15" s="13">
        <f t="shared" si="22"/>
        <v>2.8100000000000005</v>
      </c>
      <c r="BP15" s="13">
        <v>0.19</v>
      </c>
      <c r="BQ15" s="11">
        <v>450</v>
      </c>
      <c r="BR15" s="11"/>
      <c r="BS15" s="13">
        <f t="shared" si="12"/>
        <v>5.3250000000000011</v>
      </c>
      <c r="BT15" s="13">
        <v>0.21199999999999999</v>
      </c>
      <c r="BU15" s="11">
        <v>450</v>
      </c>
      <c r="BV15" s="11"/>
      <c r="BW15" s="13">
        <f t="shared" si="13"/>
        <v>2.6139999999999994</v>
      </c>
      <c r="BX15" s="13">
        <v>0.08</v>
      </c>
      <c r="BY15" s="11">
        <v>450</v>
      </c>
      <c r="BZ15" s="11"/>
      <c r="CA15" s="13">
        <f t="shared" si="14"/>
        <v>11.021999999999998</v>
      </c>
      <c r="CB15" s="13">
        <v>0.439</v>
      </c>
      <c r="CC15" s="11">
        <v>450</v>
      </c>
      <c r="CD15" s="11"/>
      <c r="CE15" s="13">
        <f t="shared" si="15"/>
        <v>10</v>
      </c>
      <c r="CF15" s="13">
        <v>0.67</v>
      </c>
      <c r="CG15" s="23">
        <v>450</v>
      </c>
      <c r="CH15" s="11"/>
      <c r="CI15" s="13">
        <f t="shared" si="16"/>
        <v>28.799999999999997</v>
      </c>
      <c r="CJ15" s="13">
        <v>2.1</v>
      </c>
      <c r="CK15" s="23">
        <v>450</v>
      </c>
      <c r="CL15" s="11"/>
      <c r="CM15" s="13">
        <f t="shared" si="17"/>
        <v>29.36</v>
      </c>
      <c r="CN15" s="13">
        <v>3.04</v>
      </c>
      <c r="CO15" s="23">
        <v>450</v>
      </c>
      <c r="CP15" s="11"/>
      <c r="CQ15" s="13">
        <f t="shared" si="18"/>
        <v>37.5</v>
      </c>
      <c r="CR15" s="13">
        <v>3.4</v>
      </c>
      <c r="CS15" s="23">
        <v>450</v>
      </c>
      <c r="CT15" s="11"/>
      <c r="CU15" s="34">
        <v>1200</v>
      </c>
      <c r="CV15" s="34">
        <v>29</v>
      </c>
      <c r="CW15" s="11">
        <v>850</v>
      </c>
      <c r="CX15" s="34"/>
      <c r="CY15" s="34">
        <v>2528</v>
      </c>
      <c r="CZ15" s="34">
        <v>60</v>
      </c>
      <c r="DA15" s="11">
        <v>850</v>
      </c>
      <c r="DB15" s="34"/>
      <c r="DC15" s="34"/>
      <c r="DD15" s="50"/>
      <c r="DE15" s="50"/>
      <c r="DF15" s="50"/>
      <c r="DG15" s="50"/>
      <c r="DH15" s="50"/>
    </row>
    <row r="16" spans="1:114" ht="12.5" customHeight="1" x14ac:dyDescent="0.35">
      <c r="A16" s="2"/>
      <c r="B16" s="78"/>
      <c r="C16" s="30"/>
      <c r="D16" s="31"/>
      <c r="E16" s="20"/>
      <c r="F16" s="41"/>
      <c r="G16" s="35">
        <v>7.1450000000000005</v>
      </c>
      <c r="H16" s="35">
        <f t="shared" si="19"/>
        <v>0.11500000000000021</v>
      </c>
      <c r="I16" s="11">
        <v>800</v>
      </c>
      <c r="J16" s="34"/>
      <c r="K16" s="13">
        <f t="shared" si="0"/>
        <v>11.166000000000002</v>
      </c>
      <c r="L16" s="13">
        <v>0.19800000000000001</v>
      </c>
      <c r="M16" s="11">
        <v>800</v>
      </c>
      <c r="N16" s="11">
        <f>IF(N14&gt;0,LOOKUP(F6+N13,K4:K32,M5:M33),0)</f>
        <v>0</v>
      </c>
      <c r="O16" s="13">
        <f t="shared" si="1"/>
        <v>22.530999999999995</v>
      </c>
      <c r="P16" s="13">
        <v>0.439</v>
      </c>
      <c r="Q16" s="11">
        <v>800</v>
      </c>
      <c r="R16" s="11">
        <f>IF(R14&gt;0,LOOKUP(F8+R13,O4:O32,Q5:Q33),0)</f>
        <v>0</v>
      </c>
      <c r="S16" s="13">
        <f t="shared" si="2"/>
        <v>49.695</v>
      </c>
      <c r="T16" s="13">
        <v>0.94199999999999995</v>
      </c>
      <c r="U16" s="11">
        <v>800</v>
      </c>
      <c r="V16" s="23">
        <f>IF(V14&gt;0,LOOKUP(F10+V13,S4:S32,U5:U33),0)</f>
        <v>0</v>
      </c>
      <c r="W16" s="13">
        <f t="shared" si="3"/>
        <v>114.71000000000001</v>
      </c>
      <c r="X16" s="13">
        <v>2.1</v>
      </c>
      <c r="Y16" s="11">
        <v>800</v>
      </c>
      <c r="Z16" s="23"/>
      <c r="AA16" s="13">
        <f t="shared" si="4"/>
        <v>236.05000000000004</v>
      </c>
      <c r="AB16" s="13">
        <v>4.75</v>
      </c>
      <c r="AC16" s="11">
        <v>800</v>
      </c>
      <c r="AD16" s="23"/>
      <c r="AE16" s="13">
        <f t="shared" si="5"/>
        <v>513.03</v>
      </c>
      <c r="AF16" s="13">
        <v>11</v>
      </c>
      <c r="AG16" s="11">
        <v>800</v>
      </c>
      <c r="AH16" s="11"/>
      <c r="AI16" s="13">
        <f t="shared" si="6"/>
        <v>887.9</v>
      </c>
      <c r="AJ16" s="13">
        <v>20.9</v>
      </c>
      <c r="AK16" s="11">
        <v>800</v>
      </c>
      <c r="AL16" s="11"/>
      <c r="AM16" s="13">
        <f t="shared" si="7"/>
        <v>1859.8000000000002</v>
      </c>
      <c r="AN16" s="13">
        <v>45.9</v>
      </c>
      <c r="AO16" s="11">
        <v>800</v>
      </c>
      <c r="AP16" s="11"/>
      <c r="AQ16" s="35">
        <v>8.5820000000000025</v>
      </c>
      <c r="AR16" s="35">
        <f t="shared" si="20"/>
        <v>0.21600000000000108</v>
      </c>
      <c r="AS16" s="11">
        <v>800</v>
      </c>
      <c r="AT16" s="34"/>
      <c r="AU16" s="13">
        <f t="shared" si="8"/>
        <v>15.137999999999996</v>
      </c>
      <c r="AV16" s="13">
        <v>0.376</v>
      </c>
      <c r="AW16" s="11">
        <v>800</v>
      </c>
      <c r="AX16" s="11">
        <f>IF(AX14&gt;0,LOOKUP(F19+AX13,AU4:AU32,AW5:AW33),0)</f>
        <v>0</v>
      </c>
      <c r="AY16" s="13">
        <f t="shared" si="9"/>
        <v>54.365000000000002</v>
      </c>
      <c r="AZ16" s="13">
        <v>1.23</v>
      </c>
      <c r="BA16" s="11">
        <v>800</v>
      </c>
      <c r="BB16" s="11" t="str">
        <f>IF(BB14&gt;0,LOOKUP(F21+BB13,AY4:AY32,BA5:BA33),"")</f>
        <v/>
      </c>
      <c r="BC16" s="13">
        <f t="shared" si="10"/>
        <v>557.29999999999995</v>
      </c>
      <c r="BD16" s="13">
        <v>13.4</v>
      </c>
      <c r="BE16" s="11">
        <v>800</v>
      </c>
      <c r="BF16" s="11"/>
      <c r="BG16" s="13">
        <f t="shared" si="21"/>
        <v>1.6380000000000003</v>
      </c>
      <c r="BH16" s="13">
        <v>5.0999999999999997E-2</v>
      </c>
      <c r="BI16" s="11">
        <v>500</v>
      </c>
      <c r="BJ16" s="11"/>
      <c r="BK16" s="13">
        <f t="shared" si="11"/>
        <v>1.3469999999999998</v>
      </c>
      <c r="BL16" s="13">
        <v>4.2999999999999997E-2</v>
      </c>
      <c r="BM16" s="11">
        <v>500</v>
      </c>
      <c r="BN16" s="11"/>
      <c r="BO16" s="13">
        <f t="shared" si="22"/>
        <v>3.0000000000000004</v>
      </c>
      <c r="BP16" s="13">
        <v>0.21</v>
      </c>
      <c r="BQ16" s="11">
        <v>500</v>
      </c>
      <c r="BR16" s="11"/>
      <c r="BS16" s="13">
        <f t="shared" si="12"/>
        <v>5.5370000000000008</v>
      </c>
      <c r="BT16" s="13">
        <v>0.215</v>
      </c>
      <c r="BU16" s="11">
        <v>500</v>
      </c>
      <c r="BV16" s="11"/>
      <c r="BW16" s="13">
        <f t="shared" si="13"/>
        <v>2.6939999999999995</v>
      </c>
      <c r="BX16" s="13">
        <v>8.5999999999999993E-2</v>
      </c>
      <c r="BY16" s="11">
        <v>500</v>
      </c>
      <c r="BZ16" s="11"/>
      <c r="CA16" s="13">
        <f t="shared" si="14"/>
        <v>11.460999999999999</v>
      </c>
      <c r="CB16" s="13">
        <v>0.44600000000000001</v>
      </c>
      <c r="CC16" s="11">
        <v>500</v>
      </c>
      <c r="CD16" s="11"/>
      <c r="CE16" s="13">
        <f t="shared" si="15"/>
        <v>10.67</v>
      </c>
      <c r="CF16" s="13">
        <v>0.68</v>
      </c>
      <c r="CG16" s="23">
        <v>500</v>
      </c>
      <c r="CH16" s="11"/>
      <c r="CI16" s="13">
        <f t="shared" si="16"/>
        <v>30.9</v>
      </c>
      <c r="CJ16" s="13">
        <v>2.25</v>
      </c>
      <c r="CK16" s="23">
        <v>500</v>
      </c>
      <c r="CL16" s="11"/>
      <c r="CM16" s="13">
        <f t="shared" si="17"/>
        <v>32.4</v>
      </c>
      <c r="CN16" s="13">
        <v>3.2</v>
      </c>
      <c r="CO16" s="23">
        <v>500</v>
      </c>
      <c r="CP16" s="11"/>
      <c r="CQ16" s="13">
        <f t="shared" si="18"/>
        <v>40.9</v>
      </c>
      <c r="CR16" s="13">
        <v>3.5</v>
      </c>
      <c r="CS16" s="23">
        <v>500</v>
      </c>
      <c r="CT16" s="11"/>
      <c r="CU16" s="34">
        <v>1230</v>
      </c>
      <c r="CV16" s="34">
        <v>30</v>
      </c>
      <c r="CW16" s="11">
        <v>800</v>
      </c>
      <c r="CX16" s="34"/>
      <c r="CY16" s="34">
        <v>2592</v>
      </c>
      <c r="CZ16" s="34">
        <v>64</v>
      </c>
      <c r="DA16" s="11">
        <v>800</v>
      </c>
      <c r="DB16" s="34"/>
      <c r="DC16" s="34"/>
      <c r="DD16" s="64" t="s">
        <v>64</v>
      </c>
      <c r="DE16" s="65"/>
      <c r="DF16" s="65"/>
      <c r="DG16" s="65"/>
      <c r="DH16" s="65"/>
    </row>
    <row r="17" spans="1:112" ht="12.5" customHeight="1" x14ac:dyDescent="0.35">
      <c r="A17" s="2"/>
      <c r="B17" s="44" t="s">
        <v>60</v>
      </c>
      <c r="C17" s="29"/>
      <c r="D17" s="32" t="str">
        <f>IF(AT5&gt;=0,AT9,"")</f>
        <v/>
      </c>
      <c r="E17" s="56" t="str">
        <f>IF(AT5=1,"Feil i resultat?",IF(AT9=AT10,"",""))</f>
        <v/>
      </c>
      <c r="F17" s="41">
        <f>C17/100</f>
        <v>0</v>
      </c>
      <c r="G17" s="35">
        <v>7.266</v>
      </c>
      <c r="H17" s="35">
        <f t="shared" si="19"/>
        <v>0.12099999999999955</v>
      </c>
      <c r="I17" s="11">
        <v>750</v>
      </c>
      <c r="J17" s="34"/>
      <c r="K17" s="13">
        <f t="shared" si="0"/>
        <v>11.373000000000003</v>
      </c>
      <c r="L17" s="13">
        <v>0.20699999999999999</v>
      </c>
      <c r="M17" s="11">
        <v>750</v>
      </c>
      <c r="N17" s="14">
        <f>IF(N14&gt;0,INT(N16+(N14-F6-N13)*(50/N15)+F38),0)</f>
        <v>0</v>
      </c>
      <c r="O17" s="13">
        <f t="shared" si="1"/>
        <v>22.989999999999995</v>
      </c>
      <c r="P17" s="13">
        <v>0.45900000000000002</v>
      </c>
      <c r="Q17" s="11">
        <v>750</v>
      </c>
      <c r="R17" s="14">
        <f>IF(R14&gt;0,INT(R16+(R14-F8-R13)*(50/R15)+F38),0)</f>
        <v>0</v>
      </c>
      <c r="S17" s="13">
        <f t="shared" si="2"/>
        <v>50.688000000000002</v>
      </c>
      <c r="T17" s="13">
        <v>0.99299999999999999</v>
      </c>
      <c r="U17" s="11">
        <v>750</v>
      </c>
      <c r="V17" s="17">
        <f>IF(V14&gt;0,INT(V16+(V14-F10-V13)*(50/V15)+F38),0)</f>
        <v>0</v>
      </c>
      <c r="W17" s="13">
        <f t="shared" si="3"/>
        <v>116.95</v>
      </c>
      <c r="X17" s="13">
        <v>2.2400000000000002</v>
      </c>
      <c r="Y17" s="11">
        <v>750</v>
      </c>
      <c r="Z17" s="17"/>
      <c r="AA17" s="13">
        <f t="shared" si="4"/>
        <v>241.12000000000003</v>
      </c>
      <c r="AB17" s="13">
        <v>5.07</v>
      </c>
      <c r="AC17" s="11">
        <v>750</v>
      </c>
      <c r="AD17" s="17"/>
      <c r="AE17" s="13">
        <f t="shared" si="5"/>
        <v>524.63</v>
      </c>
      <c r="AF17" s="13">
        <v>11.6</v>
      </c>
      <c r="AG17" s="11">
        <v>750</v>
      </c>
      <c r="AH17" s="11"/>
      <c r="AI17" s="13">
        <f t="shared" si="6"/>
        <v>910</v>
      </c>
      <c r="AJ17" s="13">
        <v>22.1</v>
      </c>
      <c r="AK17" s="11">
        <v>750</v>
      </c>
      <c r="AL17" s="11"/>
      <c r="AM17" s="13">
        <f t="shared" si="7"/>
        <v>1908.5000000000002</v>
      </c>
      <c r="AN17" s="13">
        <v>48.7</v>
      </c>
      <c r="AO17" s="11">
        <v>750</v>
      </c>
      <c r="AP17" s="11"/>
      <c r="AQ17" s="35">
        <v>8.8130000000000024</v>
      </c>
      <c r="AR17" s="35">
        <f t="shared" si="20"/>
        <v>0.23099999999999987</v>
      </c>
      <c r="AS17" s="11">
        <v>750</v>
      </c>
      <c r="AT17" s="34"/>
      <c r="AU17" s="13">
        <f t="shared" si="8"/>
        <v>15.551999999999996</v>
      </c>
      <c r="AV17" s="13">
        <v>0.41399999999999998</v>
      </c>
      <c r="AW17" s="11">
        <v>750</v>
      </c>
      <c r="AX17" s="14">
        <f>IF(AX14&gt;0,INT(AX16+(AX14-F19-AX13)*(50/AX15)+F38),0)</f>
        <v>0</v>
      </c>
      <c r="AY17" s="13">
        <f t="shared" si="9"/>
        <v>55.72</v>
      </c>
      <c r="AZ17" s="13">
        <v>1.355</v>
      </c>
      <c r="BA17" s="11">
        <v>750</v>
      </c>
      <c r="BB17" s="14">
        <f>IF(BB14&gt;0,INT(BB16+(BB14-F21-BB13)*(50/BB15)+F38),0)</f>
        <v>0</v>
      </c>
      <c r="BC17" s="13">
        <f t="shared" si="10"/>
        <v>571.5</v>
      </c>
      <c r="BD17" s="13">
        <v>14.2</v>
      </c>
      <c r="BE17" s="11">
        <v>750</v>
      </c>
      <c r="BF17" s="14"/>
      <c r="BG17" s="13">
        <f t="shared" si="21"/>
        <v>1.6890000000000003</v>
      </c>
      <c r="BH17" s="13">
        <v>5.2999999999999999E-2</v>
      </c>
      <c r="BI17" s="11">
        <v>550</v>
      </c>
      <c r="BJ17" s="14"/>
      <c r="BK17" s="13">
        <f t="shared" si="11"/>
        <v>1.3899999999999997</v>
      </c>
      <c r="BL17" s="13">
        <v>4.4999999999999998E-2</v>
      </c>
      <c r="BM17" s="11">
        <v>550</v>
      </c>
      <c r="BN17" s="11"/>
      <c r="BO17" s="13">
        <f t="shared" si="22"/>
        <v>3.2100000000000004</v>
      </c>
      <c r="BP17" s="13">
        <v>0.22</v>
      </c>
      <c r="BQ17" s="11">
        <v>550</v>
      </c>
      <c r="BR17" s="11"/>
      <c r="BS17" s="13">
        <f t="shared" si="12"/>
        <v>5.7520000000000007</v>
      </c>
      <c r="BT17" s="13">
        <v>0.218</v>
      </c>
      <c r="BU17" s="11">
        <v>550</v>
      </c>
      <c r="BV17" s="11"/>
      <c r="BW17" s="13">
        <f t="shared" si="13"/>
        <v>2.7799999999999994</v>
      </c>
      <c r="BX17" s="13">
        <v>0.09</v>
      </c>
      <c r="BY17" s="11">
        <v>550</v>
      </c>
      <c r="BZ17" s="11"/>
      <c r="CA17" s="13">
        <f t="shared" si="14"/>
        <v>11.906999999999998</v>
      </c>
      <c r="CB17" s="13">
        <v>0.45200000000000001</v>
      </c>
      <c r="CC17" s="11">
        <v>550</v>
      </c>
      <c r="CD17" s="11"/>
      <c r="CE17" s="13">
        <f t="shared" si="15"/>
        <v>11.35</v>
      </c>
      <c r="CF17" s="13">
        <v>0.69</v>
      </c>
      <c r="CG17" s="23">
        <v>550</v>
      </c>
      <c r="CH17" s="11"/>
      <c r="CI17" s="13">
        <f t="shared" si="16"/>
        <v>33.15</v>
      </c>
      <c r="CJ17" s="13">
        <v>2.4</v>
      </c>
      <c r="CK17" s="23">
        <v>550</v>
      </c>
      <c r="CL17" s="11"/>
      <c r="CM17" s="13">
        <f t="shared" si="17"/>
        <v>35.6</v>
      </c>
      <c r="CN17" s="13">
        <v>3.35</v>
      </c>
      <c r="CO17" s="23">
        <v>550</v>
      </c>
      <c r="CP17" s="11"/>
      <c r="CQ17" s="13">
        <f t="shared" si="18"/>
        <v>44.4</v>
      </c>
      <c r="CR17" s="13">
        <v>3.6</v>
      </c>
      <c r="CS17" s="23">
        <v>550</v>
      </c>
      <c r="CT17" s="11"/>
      <c r="CU17" s="34">
        <v>1263</v>
      </c>
      <c r="CV17" s="34">
        <v>33</v>
      </c>
      <c r="CW17" s="11">
        <v>750</v>
      </c>
      <c r="CX17" s="34"/>
      <c r="CY17" s="34">
        <v>2660</v>
      </c>
      <c r="CZ17" s="34">
        <v>68</v>
      </c>
      <c r="DA17" s="11">
        <v>750</v>
      </c>
      <c r="DB17" s="34"/>
      <c r="DC17" s="34"/>
      <c r="DD17" s="64" t="s">
        <v>65</v>
      </c>
      <c r="DE17" s="65"/>
      <c r="DF17" s="65"/>
      <c r="DG17" s="65"/>
      <c r="DH17" s="65"/>
    </row>
    <row r="18" spans="1:112" ht="12.5" customHeight="1" x14ac:dyDescent="0.35">
      <c r="A18" s="2"/>
      <c r="B18" s="63" t="s">
        <v>41</v>
      </c>
      <c r="C18" s="29"/>
      <c r="D18" s="32" t="str">
        <f>IF(AX5&gt;=0,AX9,"")</f>
        <v/>
      </c>
      <c r="E18" s="20" t="str">
        <f>IF(AX5=1,"Feil i resultat?",IF(AX9=AX10,"",""))</f>
        <v/>
      </c>
      <c r="F18" s="41">
        <f>C18/100</f>
        <v>0</v>
      </c>
      <c r="G18" s="35">
        <v>7.3940000000000001</v>
      </c>
      <c r="H18" s="35">
        <f t="shared" si="19"/>
        <v>0.12800000000000011</v>
      </c>
      <c r="I18" s="11">
        <v>700</v>
      </c>
      <c r="J18" s="34"/>
      <c r="K18" s="13">
        <f t="shared" si="0"/>
        <v>11.589000000000002</v>
      </c>
      <c r="L18" s="13">
        <v>0.216</v>
      </c>
      <c r="M18" s="11">
        <v>700</v>
      </c>
      <c r="N18" s="14">
        <f>IF(N14&gt;0,INT(N16+(N14-F6-N13)*(50/N15)),0)</f>
        <v>0</v>
      </c>
      <c r="O18" s="13">
        <f t="shared" si="1"/>
        <v>23.469999999999995</v>
      </c>
      <c r="P18" s="13">
        <v>0.48</v>
      </c>
      <c r="Q18" s="11">
        <v>700</v>
      </c>
      <c r="R18" s="14">
        <f>IF(R14&gt;0,INT(R16+(R14-F8-R13)*(50/R15)),0)</f>
        <v>0</v>
      </c>
      <c r="S18" s="13">
        <f t="shared" si="2"/>
        <v>51.736000000000004</v>
      </c>
      <c r="T18" s="13">
        <v>1.048</v>
      </c>
      <c r="U18" s="11">
        <v>700</v>
      </c>
      <c r="V18" s="17">
        <f>IF(V14&gt;0,INT(V16+(V14-F10-V13)*(50/V15)),0)</f>
        <v>0</v>
      </c>
      <c r="W18" s="13">
        <f t="shared" si="3"/>
        <v>119.35000000000001</v>
      </c>
      <c r="X18" s="13">
        <v>2.4</v>
      </c>
      <c r="Y18" s="11">
        <v>700</v>
      </c>
      <c r="Z18" s="13"/>
      <c r="AA18" s="13">
        <f t="shared" si="4"/>
        <v>246.61000000000004</v>
      </c>
      <c r="AB18" s="13">
        <v>5.49</v>
      </c>
      <c r="AC18" s="11">
        <v>700</v>
      </c>
      <c r="AD18" s="13"/>
      <c r="AE18" s="13">
        <f t="shared" si="5"/>
        <v>537.03</v>
      </c>
      <c r="AF18" s="13">
        <v>12.4</v>
      </c>
      <c r="AG18" s="11">
        <v>700</v>
      </c>
      <c r="AH18" s="11"/>
      <c r="AI18" s="13">
        <f t="shared" si="6"/>
        <v>933.3</v>
      </c>
      <c r="AJ18" s="13">
        <v>23.3</v>
      </c>
      <c r="AK18" s="11">
        <v>700</v>
      </c>
      <c r="AL18" s="11"/>
      <c r="AM18" s="13">
        <f t="shared" si="7"/>
        <v>1960.0000000000002</v>
      </c>
      <c r="AN18" s="13">
        <v>51.5</v>
      </c>
      <c r="AO18" s="11">
        <v>700</v>
      </c>
      <c r="AP18" s="11"/>
      <c r="AQ18" s="35">
        <v>9.0590000000000011</v>
      </c>
      <c r="AR18" s="35">
        <f t="shared" si="20"/>
        <v>0.24599999999999866</v>
      </c>
      <c r="AS18" s="11">
        <v>700</v>
      </c>
      <c r="AT18" s="34"/>
      <c r="AU18" s="13">
        <f t="shared" si="8"/>
        <v>16.009999999999994</v>
      </c>
      <c r="AV18" s="13">
        <v>0.45800000000000002</v>
      </c>
      <c r="AW18" s="11">
        <v>700</v>
      </c>
      <c r="AX18" s="14">
        <f>IF(AX14&gt;0,INT(AX16+(AX14-F19-AX13)*(50/AX15)),0)</f>
        <v>0</v>
      </c>
      <c r="AY18" s="13">
        <f t="shared" si="9"/>
        <v>57.23</v>
      </c>
      <c r="AZ18" s="13">
        <v>1.51</v>
      </c>
      <c r="BA18" s="11">
        <v>700</v>
      </c>
      <c r="BB18" s="14">
        <f>IF(BB14&gt;0,INT(BB16+(BB14-F21-BB13)*(50/BB15)),0)</f>
        <v>0</v>
      </c>
      <c r="BC18" s="13">
        <f t="shared" si="10"/>
        <v>586.70000000000005</v>
      </c>
      <c r="BD18" s="13">
        <v>15.2</v>
      </c>
      <c r="BE18" s="11">
        <v>700</v>
      </c>
      <c r="BF18" s="11"/>
      <c r="BG18" s="13">
        <f t="shared" si="21"/>
        <v>1.7420000000000002</v>
      </c>
      <c r="BH18" s="13">
        <v>5.5E-2</v>
      </c>
      <c r="BI18" s="11">
        <v>600</v>
      </c>
      <c r="BJ18" s="11"/>
      <c r="BK18" s="13">
        <f t="shared" si="11"/>
        <v>1.4349999999999996</v>
      </c>
      <c r="BL18" s="13">
        <v>4.4999999999999998E-2</v>
      </c>
      <c r="BM18" s="11">
        <v>600</v>
      </c>
      <c r="BN18" s="11"/>
      <c r="BO18" s="13">
        <f t="shared" si="22"/>
        <v>3.4300000000000006</v>
      </c>
      <c r="BP18" s="13">
        <v>0.23</v>
      </c>
      <c r="BQ18" s="11">
        <v>600</v>
      </c>
      <c r="BR18" s="11"/>
      <c r="BS18" s="13">
        <f t="shared" si="12"/>
        <v>5.9700000000000006</v>
      </c>
      <c r="BT18" s="13">
        <v>0.221</v>
      </c>
      <c r="BU18" s="11">
        <v>600</v>
      </c>
      <c r="BV18" s="11"/>
      <c r="BW18" s="13">
        <f t="shared" si="13"/>
        <v>2.8699999999999992</v>
      </c>
      <c r="BX18" s="13">
        <v>0.09</v>
      </c>
      <c r="BY18" s="11">
        <v>600</v>
      </c>
      <c r="BZ18" s="11"/>
      <c r="CA18" s="13">
        <f t="shared" si="14"/>
        <v>12.358999999999998</v>
      </c>
      <c r="CB18" s="13">
        <v>0.45800000000000002</v>
      </c>
      <c r="CC18" s="11">
        <v>600</v>
      </c>
      <c r="CD18" s="11"/>
      <c r="CE18" s="13">
        <f t="shared" si="15"/>
        <v>12.04</v>
      </c>
      <c r="CF18" s="13">
        <v>0.71</v>
      </c>
      <c r="CG18" s="23">
        <v>600</v>
      </c>
      <c r="CH18" s="11"/>
      <c r="CI18" s="13">
        <f t="shared" si="16"/>
        <v>35.549999999999997</v>
      </c>
      <c r="CJ18" s="13">
        <v>2.5499999999999998</v>
      </c>
      <c r="CK18" s="23">
        <v>600</v>
      </c>
      <c r="CL18" s="11"/>
      <c r="CM18" s="13">
        <f t="shared" si="17"/>
        <v>38.950000000000003</v>
      </c>
      <c r="CN18" s="13">
        <v>3.49</v>
      </c>
      <c r="CO18" s="23">
        <v>600</v>
      </c>
      <c r="CP18" s="11"/>
      <c r="CQ18" s="13">
        <f t="shared" si="18"/>
        <v>48</v>
      </c>
      <c r="CR18" s="13">
        <v>3.7</v>
      </c>
      <c r="CS18" s="23">
        <v>600</v>
      </c>
      <c r="CT18" s="11"/>
      <c r="CU18" s="34">
        <v>1297</v>
      </c>
      <c r="CV18" s="34">
        <v>34</v>
      </c>
      <c r="CW18" s="11">
        <v>700</v>
      </c>
      <c r="CX18" s="34"/>
      <c r="CY18" s="34">
        <v>2733</v>
      </c>
      <c r="CZ18" s="34">
        <v>73</v>
      </c>
      <c r="DA18" s="11">
        <v>700</v>
      </c>
      <c r="DB18" s="34"/>
      <c r="DC18" s="34"/>
      <c r="DD18" s="68" t="s">
        <v>66</v>
      </c>
      <c r="DE18" s="50"/>
      <c r="DF18" s="50"/>
      <c r="DG18" s="50"/>
      <c r="DH18" s="50"/>
    </row>
    <row r="19" spans="1:112" ht="12.5" customHeight="1" x14ac:dyDescent="0.35">
      <c r="A19" s="2"/>
      <c r="B19" s="63" t="s">
        <v>42</v>
      </c>
      <c r="C19" s="58"/>
      <c r="D19" s="32" t="str">
        <f>IF(AX12&gt;=0,AX17,"")</f>
        <v/>
      </c>
      <c r="E19" s="20" t="str">
        <f>IF(AX12=1,"Feil i resultat?",IF(AX17=AX18,"","Inkonsistent."))</f>
        <v/>
      </c>
      <c r="F19" s="21">
        <f>C19/10</f>
        <v>0</v>
      </c>
      <c r="G19" s="35">
        <v>7.5289999999999999</v>
      </c>
      <c r="H19" s="35">
        <f t="shared" si="19"/>
        <v>0.13499999999999979</v>
      </c>
      <c r="I19" s="11">
        <v>650</v>
      </c>
      <c r="J19" s="34"/>
      <c r="K19" s="13">
        <f t="shared" si="0"/>
        <v>11.815000000000003</v>
      </c>
      <c r="L19" s="13">
        <v>0.22600000000000001</v>
      </c>
      <c r="M19" s="11">
        <v>650</v>
      </c>
      <c r="N19" s="11"/>
      <c r="O19" s="13">
        <f t="shared" si="1"/>
        <v>23.972999999999995</v>
      </c>
      <c r="P19" s="13">
        <v>0.503</v>
      </c>
      <c r="Q19" s="11">
        <v>650</v>
      </c>
      <c r="R19" s="11"/>
      <c r="S19" s="13">
        <f t="shared" si="2"/>
        <v>52.866000000000007</v>
      </c>
      <c r="T19" s="13">
        <v>1.1299999999999999</v>
      </c>
      <c r="U19" s="11">
        <v>650</v>
      </c>
      <c r="V19" s="13"/>
      <c r="W19" s="13">
        <f t="shared" si="3"/>
        <v>121.97000000000001</v>
      </c>
      <c r="X19" s="13">
        <v>2.62</v>
      </c>
      <c r="Y19" s="11">
        <v>650</v>
      </c>
      <c r="Z19" s="13"/>
      <c r="AA19" s="13">
        <f t="shared" si="4"/>
        <v>252.64000000000004</v>
      </c>
      <c r="AB19" s="13">
        <v>6.03</v>
      </c>
      <c r="AC19" s="11">
        <v>650</v>
      </c>
      <c r="AD19" s="13"/>
      <c r="AE19" s="13">
        <f t="shared" si="5"/>
        <v>550.32999999999993</v>
      </c>
      <c r="AF19" s="13">
        <v>13.3</v>
      </c>
      <c r="AG19" s="11">
        <v>650</v>
      </c>
      <c r="AH19" s="11"/>
      <c r="AI19" s="13">
        <f t="shared" si="6"/>
        <v>957.8</v>
      </c>
      <c r="AJ19" s="13">
        <v>24.5</v>
      </c>
      <c r="AK19" s="11">
        <v>650</v>
      </c>
      <c r="AL19" s="11"/>
      <c r="AM19" s="13">
        <f t="shared" si="7"/>
        <v>2014.3000000000002</v>
      </c>
      <c r="AN19" s="13">
        <v>54.3</v>
      </c>
      <c r="AO19" s="11">
        <v>650</v>
      </c>
      <c r="AP19" s="11"/>
      <c r="AQ19" s="35">
        <v>9.3200000000000021</v>
      </c>
      <c r="AR19" s="35">
        <f t="shared" si="20"/>
        <v>0.26100000000000101</v>
      </c>
      <c r="AS19" s="11">
        <v>650</v>
      </c>
      <c r="AT19" s="34"/>
      <c r="AU19" s="13">
        <f t="shared" si="8"/>
        <v>16.519999999999996</v>
      </c>
      <c r="AV19" s="13">
        <v>0.51</v>
      </c>
      <c r="AW19" s="11">
        <v>650</v>
      </c>
      <c r="AX19" s="11"/>
      <c r="AY19" s="13">
        <f t="shared" si="9"/>
        <v>58.934999999999995</v>
      </c>
      <c r="AZ19" s="13">
        <v>1.7050000000000001</v>
      </c>
      <c r="BA19" s="11">
        <v>650</v>
      </c>
      <c r="BB19" s="11"/>
      <c r="BC19" s="13">
        <f t="shared" si="10"/>
        <v>603</v>
      </c>
      <c r="BD19" s="13">
        <v>16.3</v>
      </c>
      <c r="BE19" s="11">
        <v>650</v>
      </c>
      <c r="BF19" s="11"/>
      <c r="BG19" s="13">
        <f t="shared" si="21"/>
        <v>1.7970000000000002</v>
      </c>
      <c r="BH19" s="13">
        <v>5.7000000000000002E-2</v>
      </c>
      <c r="BI19" s="11">
        <v>650</v>
      </c>
      <c r="BJ19" s="11"/>
      <c r="BK19" s="13">
        <f t="shared" si="11"/>
        <v>1.4799999999999995</v>
      </c>
      <c r="BL19" s="13">
        <v>4.4999999999999998E-2</v>
      </c>
      <c r="BM19" s="11">
        <v>650</v>
      </c>
      <c r="BN19" s="11"/>
      <c r="BO19" s="13">
        <f t="shared" si="22"/>
        <v>3.6600000000000006</v>
      </c>
      <c r="BP19" s="13">
        <v>0.24</v>
      </c>
      <c r="BQ19" s="11">
        <v>650</v>
      </c>
      <c r="BR19" s="11"/>
      <c r="BS19" s="13">
        <f t="shared" si="12"/>
        <v>6.1910000000000007</v>
      </c>
      <c r="BT19" s="13">
        <v>0.224</v>
      </c>
      <c r="BU19" s="11">
        <v>650</v>
      </c>
      <c r="BV19" s="11"/>
      <c r="BW19" s="13">
        <f t="shared" si="13"/>
        <v>2.9599999999999991</v>
      </c>
      <c r="BX19" s="13">
        <v>0.09</v>
      </c>
      <c r="BY19" s="11">
        <v>650</v>
      </c>
      <c r="BZ19" s="11"/>
      <c r="CA19" s="13">
        <f t="shared" si="14"/>
        <v>12.816999999999998</v>
      </c>
      <c r="CB19" s="13">
        <v>0.46400000000000002</v>
      </c>
      <c r="CC19" s="11">
        <v>650</v>
      </c>
      <c r="CD19" s="11"/>
      <c r="CE19" s="13">
        <f t="shared" si="15"/>
        <v>12.75</v>
      </c>
      <c r="CF19" s="13">
        <v>0.73</v>
      </c>
      <c r="CG19" s="23">
        <v>650</v>
      </c>
      <c r="CH19" s="11"/>
      <c r="CI19" s="13">
        <f t="shared" si="16"/>
        <v>38.099999999999994</v>
      </c>
      <c r="CJ19" s="13">
        <v>2.7</v>
      </c>
      <c r="CK19" s="23">
        <v>650</v>
      </c>
      <c r="CL19" s="11"/>
      <c r="CM19" s="13">
        <f t="shared" si="17"/>
        <v>42.440000000000005</v>
      </c>
      <c r="CN19" s="13">
        <v>3.62</v>
      </c>
      <c r="CO19" s="23">
        <v>650</v>
      </c>
      <c r="CP19" s="11"/>
      <c r="CQ19" s="13">
        <f t="shared" si="18"/>
        <v>51.7</v>
      </c>
      <c r="CR19" s="13">
        <v>3.8</v>
      </c>
      <c r="CS19" s="23">
        <v>650</v>
      </c>
      <c r="CT19" s="11"/>
      <c r="CU19" s="34">
        <v>1333</v>
      </c>
      <c r="CV19" s="34">
        <v>36</v>
      </c>
      <c r="CW19" s="11">
        <v>650</v>
      </c>
      <c r="CX19" s="34"/>
      <c r="CY19" s="34">
        <v>2809</v>
      </c>
      <c r="CZ19" s="34">
        <v>76</v>
      </c>
      <c r="DA19" s="11">
        <v>650</v>
      </c>
      <c r="DB19" s="34"/>
      <c r="DC19" s="34"/>
      <c r="DD19" s="50"/>
      <c r="DE19" s="50"/>
      <c r="DF19" s="50"/>
      <c r="DG19" s="50"/>
      <c r="DH19" s="50"/>
    </row>
    <row r="20" spans="1:112" ht="12.5" customHeight="1" x14ac:dyDescent="0.35">
      <c r="A20" s="2"/>
      <c r="B20" s="45" t="s">
        <v>43</v>
      </c>
      <c r="C20" s="29"/>
      <c r="D20" s="32" t="str">
        <f>IF(BB5&gt;=0,BB9,"")</f>
        <v/>
      </c>
      <c r="E20" s="20" t="str">
        <f>IF(BB5=1,"Feil i resultat?",IF(BB9=BB10,"","Inkonsistent."))</f>
        <v/>
      </c>
      <c r="F20" s="3">
        <f>INT(C20/10000)*60+(C20-INT(C20/10000)*10000)/100</f>
        <v>0</v>
      </c>
      <c r="G20" s="35">
        <v>7.6719999999999997</v>
      </c>
      <c r="H20" s="35">
        <f t="shared" si="19"/>
        <v>0.14299999999999979</v>
      </c>
      <c r="I20" s="11">
        <v>600</v>
      </c>
      <c r="J20" s="34"/>
      <c r="K20" s="13">
        <f t="shared" si="0"/>
        <v>12.052000000000003</v>
      </c>
      <c r="L20" s="13">
        <v>0.23699999999999999</v>
      </c>
      <c r="M20" s="11">
        <v>600</v>
      </c>
      <c r="N20" s="11"/>
      <c r="O20" s="13">
        <f t="shared" si="1"/>
        <v>24.503999999999994</v>
      </c>
      <c r="P20" s="13">
        <v>0.53100000000000003</v>
      </c>
      <c r="Q20" s="11">
        <v>600</v>
      </c>
      <c r="R20" s="11"/>
      <c r="S20" s="13">
        <f t="shared" si="2"/>
        <v>54.101000000000006</v>
      </c>
      <c r="T20" s="13">
        <v>1.2350000000000001</v>
      </c>
      <c r="U20" s="11">
        <v>600</v>
      </c>
      <c r="V20" s="13"/>
      <c r="W20" s="13">
        <f t="shared" si="3"/>
        <v>124.89000000000001</v>
      </c>
      <c r="X20" s="13">
        <v>2.92</v>
      </c>
      <c r="Y20" s="11">
        <v>600</v>
      </c>
      <c r="Z20" s="13"/>
      <c r="AA20" s="13">
        <f t="shared" si="4"/>
        <v>259.21000000000004</v>
      </c>
      <c r="AB20" s="13">
        <v>6.57</v>
      </c>
      <c r="AC20" s="11">
        <v>600</v>
      </c>
      <c r="AD20" s="13"/>
      <c r="AE20" s="13">
        <f t="shared" si="5"/>
        <v>564.62999999999988</v>
      </c>
      <c r="AF20" s="13">
        <v>14.3</v>
      </c>
      <c r="AG20" s="11">
        <v>600</v>
      </c>
      <c r="AH20" s="11"/>
      <c r="AI20" s="13">
        <f t="shared" si="6"/>
        <v>983.69999999999993</v>
      </c>
      <c r="AJ20" s="13">
        <v>25.9</v>
      </c>
      <c r="AK20" s="11">
        <v>600</v>
      </c>
      <c r="AL20" s="11"/>
      <c r="AM20" s="13">
        <f t="shared" si="7"/>
        <v>2071.8000000000002</v>
      </c>
      <c r="AN20" s="13">
        <v>57.5</v>
      </c>
      <c r="AO20" s="11">
        <v>600</v>
      </c>
      <c r="AP20" s="11"/>
      <c r="AQ20" s="35">
        <v>9.5970000000000013</v>
      </c>
      <c r="AR20" s="35">
        <f t="shared" si="20"/>
        <v>0.27699999999999925</v>
      </c>
      <c r="AS20" s="11">
        <v>600</v>
      </c>
      <c r="AT20" s="34"/>
      <c r="AU20" s="13">
        <f t="shared" si="8"/>
        <v>17.089999999999996</v>
      </c>
      <c r="AV20" s="13">
        <v>0.56999999999999995</v>
      </c>
      <c r="AW20" s="11">
        <v>600</v>
      </c>
      <c r="AX20" s="11"/>
      <c r="AY20" s="13">
        <f t="shared" si="9"/>
        <v>60.879999999999995</v>
      </c>
      <c r="AZ20" s="13">
        <v>1.9450000000000001</v>
      </c>
      <c r="BA20" s="11">
        <v>600</v>
      </c>
      <c r="BB20" s="11"/>
      <c r="BC20" s="13">
        <f t="shared" si="10"/>
        <v>620.5</v>
      </c>
      <c r="BD20" s="13">
        <v>17.5</v>
      </c>
      <c r="BE20" s="11">
        <v>600</v>
      </c>
      <c r="BF20" s="11"/>
      <c r="BG20" s="13">
        <f t="shared" si="21"/>
        <v>1.8540000000000001</v>
      </c>
      <c r="BH20" s="13">
        <v>5.8999999999999997E-2</v>
      </c>
      <c r="BI20" s="11">
        <v>700</v>
      </c>
      <c r="BJ20" s="11"/>
      <c r="BK20" s="13">
        <f t="shared" si="11"/>
        <v>1.5249999999999995</v>
      </c>
      <c r="BL20" s="13">
        <v>4.4999999999999998E-2</v>
      </c>
      <c r="BM20" s="11">
        <v>700</v>
      </c>
      <c r="BN20" s="11"/>
      <c r="BO20" s="13">
        <f t="shared" si="22"/>
        <v>3.9000000000000004</v>
      </c>
      <c r="BP20" s="13">
        <v>0.25</v>
      </c>
      <c r="BQ20" s="11">
        <v>700</v>
      </c>
      <c r="BR20" s="11"/>
      <c r="BS20" s="13">
        <f t="shared" si="12"/>
        <v>6.4150000000000009</v>
      </c>
      <c r="BT20" s="13">
        <v>0.22700000000000001</v>
      </c>
      <c r="BU20" s="11">
        <v>700</v>
      </c>
      <c r="BV20" s="11"/>
      <c r="BW20" s="13">
        <f t="shared" si="13"/>
        <v>3.0499999999999989</v>
      </c>
      <c r="BX20" s="13">
        <v>0.09</v>
      </c>
      <c r="BY20" s="11">
        <v>700</v>
      </c>
      <c r="BZ20" s="11"/>
      <c r="CA20" s="13">
        <f t="shared" si="14"/>
        <v>13.280999999999999</v>
      </c>
      <c r="CB20" s="13">
        <v>0.47</v>
      </c>
      <c r="CC20" s="11">
        <v>700</v>
      </c>
      <c r="CD20" s="11"/>
      <c r="CE20" s="13">
        <f t="shared" si="15"/>
        <v>13.48</v>
      </c>
      <c r="CF20" s="13">
        <v>0.76</v>
      </c>
      <c r="CG20" s="23">
        <v>700</v>
      </c>
      <c r="CH20" s="11"/>
      <c r="CI20" s="13">
        <f t="shared" si="16"/>
        <v>40.799999999999997</v>
      </c>
      <c r="CJ20" s="13">
        <v>2.8</v>
      </c>
      <c r="CK20" s="23">
        <v>700</v>
      </c>
      <c r="CL20" s="11"/>
      <c r="CM20" s="13">
        <f t="shared" si="17"/>
        <v>46.06</v>
      </c>
      <c r="CN20" s="13">
        <v>3.74</v>
      </c>
      <c r="CO20" s="23">
        <v>700</v>
      </c>
      <c r="CP20" s="11"/>
      <c r="CQ20" s="13">
        <f t="shared" si="18"/>
        <v>55.5</v>
      </c>
      <c r="CR20" s="13">
        <v>3.8</v>
      </c>
      <c r="CS20" s="23">
        <v>700</v>
      </c>
      <c r="CT20" s="11"/>
      <c r="CU20" s="34">
        <v>1372</v>
      </c>
      <c r="CV20" s="34">
        <v>39</v>
      </c>
      <c r="CW20" s="11">
        <v>600</v>
      </c>
      <c r="CX20" s="34"/>
      <c r="CY20" s="34">
        <v>2890</v>
      </c>
      <c r="CZ20" s="34">
        <v>81</v>
      </c>
      <c r="DA20" s="11">
        <v>600</v>
      </c>
      <c r="DB20" s="34"/>
      <c r="DC20" s="34"/>
      <c r="DD20" s="50"/>
      <c r="DE20" s="50"/>
      <c r="DF20" s="50"/>
      <c r="DG20" s="50"/>
      <c r="DH20" s="50"/>
    </row>
    <row r="21" spans="1:112" ht="12.5" customHeight="1" x14ac:dyDescent="0.35">
      <c r="A21" s="2"/>
      <c r="B21" s="45" t="s">
        <v>44</v>
      </c>
      <c r="C21" s="57"/>
      <c r="D21" s="32" t="str">
        <f>IF(BB12&gt;=0,BB17,"")</f>
        <v/>
      </c>
      <c r="E21" s="20" t="str">
        <f>IF(BB5=1,"Feil i resultat?",IF(BB17=BB18,"","Inkonsistent."))</f>
        <v/>
      </c>
      <c r="F21" s="21">
        <f>INT(C21/1000)*60+(C21-INT(C21/1000)*1000)/10</f>
        <v>0</v>
      </c>
      <c r="G21" s="35">
        <v>7.8249999999999993</v>
      </c>
      <c r="H21" s="35">
        <f t="shared" si="19"/>
        <v>0.15299999999999958</v>
      </c>
      <c r="I21" s="11">
        <v>550</v>
      </c>
      <c r="J21" s="34"/>
      <c r="K21" s="13">
        <f t="shared" si="0"/>
        <v>12.300000000000002</v>
      </c>
      <c r="L21" s="13">
        <v>0.248</v>
      </c>
      <c r="M21" s="11">
        <v>550</v>
      </c>
      <c r="N21" s="11"/>
      <c r="O21" s="13">
        <f t="shared" si="1"/>
        <v>25.069999999999993</v>
      </c>
      <c r="P21" s="13">
        <v>0.56599999999999995</v>
      </c>
      <c r="Q21" s="11">
        <v>550</v>
      </c>
      <c r="R21" s="11"/>
      <c r="S21" s="13">
        <f t="shared" si="2"/>
        <v>55.461000000000006</v>
      </c>
      <c r="T21" s="13">
        <v>1.36</v>
      </c>
      <c r="U21" s="11">
        <v>550</v>
      </c>
      <c r="V21" s="13"/>
      <c r="W21" s="13">
        <f t="shared" si="3"/>
        <v>128.16000000000003</v>
      </c>
      <c r="X21" s="13">
        <v>3.27</v>
      </c>
      <c r="Y21" s="11">
        <v>550</v>
      </c>
      <c r="Z21" s="13"/>
      <c r="AA21" s="13">
        <f t="shared" si="4"/>
        <v>266.32000000000005</v>
      </c>
      <c r="AB21" s="13">
        <v>7.11</v>
      </c>
      <c r="AC21" s="11">
        <v>550</v>
      </c>
      <c r="AD21" s="13"/>
      <c r="AE21" s="13">
        <f t="shared" si="5"/>
        <v>580.02999999999986</v>
      </c>
      <c r="AF21" s="13">
        <v>15.4</v>
      </c>
      <c r="AG21" s="11">
        <v>550</v>
      </c>
      <c r="AH21" s="11"/>
      <c r="AI21" s="13">
        <f t="shared" si="6"/>
        <v>1011.1999999999999</v>
      </c>
      <c r="AJ21" s="13">
        <v>27.5</v>
      </c>
      <c r="AK21" s="11">
        <v>550</v>
      </c>
      <c r="AL21" s="11"/>
      <c r="AM21" s="13">
        <f t="shared" si="7"/>
        <v>2132.9</v>
      </c>
      <c r="AN21" s="13">
        <v>61.1</v>
      </c>
      <c r="AO21" s="11">
        <v>550</v>
      </c>
      <c r="AP21" s="11"/>
      <c r="AQ21" s="35">
        <v>9.8920000000000012</v>
      </c>
      <c r="AR21" s="35">
        <f t="shared" si="20"/>
        <v>0.29499999999999993</v>
      </c>
      <c r="AS21" s="11">
        <v>550</v>
      </c>
      <c r="AT21" s="34"/>
      <c r="AU21" s="13">
        <f t="shared" si="8"/>
        <v>17.724999999999998</v>
      </c>
      <c r="AV21" s="13">
        <v>0.63500000000000001</v>
      </c>
      <c r="AW21" s="11">
        <v>550</v>
      </c>
      <c r="AX21" s="11"/>
      <c r="AY21" s="13">
        <f t="shared" si="9"/>
        <v>63.074999999999996</v>
      </c>
      <c r="AZ21" s="13">
        <v>2.1949999999999998</v>
      </c>
      <c r="BA21" s="11">
        <v>550</v>
      </c>
      <c r="BB21" s="11"/>
      <c r="BC21" s="13">
        <f t="shared" si="10"/>
        <v>639.4</v>
      </c>
      <c r="BD21" s="13">
        <v>18.899999999999999</v>
      </c>
      <c r="BE21" s="11">
        <v>550</v>
      </c>
      <c r="BF21" s="11"/>
      <c r="BG21" s="13">
        <f t="shared" si="21"/>
        <v>1.913</v>
      </c>
      <c r="BH21" s="13">
        <v>6.0999999999999999E-2</v>
      </c>
      <c r="BI21" s="11">
        <v>750</v>
      </c>
      <c r="BJ21" s="11"/>
      <c r="BK21" s="13">
        <f t="shared" si="11"/>
        <v>1.5699999999999994</v>
      </c>
      <c r="BL21" s="13">
        <v>4.5999999999999999E-2</v>
      </c>
      <c r="BM21" s="11">
        <v>750</v>
      </c>
      <c r="BN21" s="11"/>
      <c r="BO21" s="13">
        <f t="shared" si="22"/>
        <v>4.1500000000000004</v>
      </c>
      <c r="BP21" s="13">
        <v>0.27</v>
      </c>
      <c r="BQ21" s="11">
        <v>750</v>
      </c>
      <c r="BR21" s="11"/>
      <c r="BS21" s="13">
        <f t="shared" si="12"/>
        <v>6.6420000000000012</v>
      </c>
      <c r="BT21" s="13">
        <v>0.23</v>
      </c>
      <c r="BU21" s="11">
        <v>750</v>
      </c>
      <c r="BV21" s="11"/>
      <c r="BW21" s="13">
        <f t="shared" si="13"/>
        <v>3.1399999999999988</v>
      </c>
      <c r="BX21" s="13">
        <v>9.1999999999999998E-2</v>
      </c>
      <c r="BY21" s="11">
        <v>750</v>
      </c>
      <c r="BZ21" s="11"/>
      <c r="CA21" s="13">
        <f t="shared" si="14"/>
        <v>13.750999999999999</v>
      </c>
      <c r="CB21" s="13">
        <v>0.47699999999999998</v>
      </c>
      <c r="CC21" s="11">
        <v>750</v>
      </c>
      <c r="CD21" s="11"/>
      <c r="CE21" s="13">
        <f t="shared" si="15"/>
        <v>14.24</v>
      </c>
      <c r="CF21" s="13">
        <v>0.8</v>
      </c>
      <c r="CG21" s="23">
        <v>750</v>
      </c>
      <c r="CH21" s="11"/>
      <c r="CI21" s="13">
        <f t="shared" si="16"/>
        <v>43.599999999999994</v>
      </c>
      <c r="CJ21" s="13">
        <v>2.9</v>
      </c>
      <c r="CK21" s="23">
        <v>750</v>
      </c>
      <c r="CL21" s="11"/>
      <c r="CM21" s="13">
        <f t="shared" si="17"/>
        <v>49.800000000000004</v>
      </c>
      <c r="CN21" s="13">
        <v>3.85</v>
      </c>
      <c r="CO21" s="23">
        <v>750</v>
      </c>
      <c r="CP21" s="11"/>
      <c r="CQ21" s="13">
        <f t="shared" si="18"/>
        <v>59.3</v>
      </c>
      <c r="CR21" s="13">
        <v>3.7</v>
      </c>
      <c r="CS21" s="23">
        <v>750</v>
      </c>
      <c r="CT21" s="11"/>
      <c r="CU21" s="34">
        <v>1413</v>
      </c>
      <c r="CV21" s="34">
        <v>41</v>
      </c>
      <c r="CW21" s="11">
        <v>550</v>
      </c>
      <c r="CX21" s="34"/>
      <c r="CY21" s="34">
        <v>2976</v>
      </c>
      <c r="CZ21" s="34">
        <v>86</v>
      </c>
      <c r="DA21" s="11">
        <v>550</v>
      </c>
      <c r="DB21" s="34"/>
      <c r="DC21" s="34"/>
      <c r="DD21" s="50"/>
      <c r="DE21" s="50"/>
      <c r="DF21" s="50"/>
      <c r="DG21" s="50"/>
      <c r="DH21" s="50"/>
    </row>
    <row r="22" spans="1:112" ht="12.5" customHeight="1" x14ac:dyDescent="0.35">
      <c r="A22" s="2"/>
      <c r="B22" s="77" t="s">
        <v>45</v>
      </c>
      <c r="C22" s="29"/>
      <c r="D22" s="32" t="str">
        <f>IF(BF5&gt;=0,BF9,"")</f>
        <v/>
      </c>
      <c r="E22" s="20" t="str">
        <f>IF(BF5=1,"Feil i resultat?",IF(BF9=BF10,"","Inkonsistent."))</f>
        <v/>
      </c>
      <c r="F22" s="3">
        <f>INT(C22/10000)*60+(C22-INT(C22/10000)*10000)/100</f>
        <v>0</v>
      </c>
      <c r="G22" s="35">
        <v>7.9849999999999994</v>
      </c>
      <c r="H22" s="35">
        <f t="shared" si="19"/>
        <v>0.16000000000000014</v>
      </c>
      <c r="I22" s="11">
        <v>500</v>
      </c>
      <c r="J22" s="34"/>
      <c r="K22" s="13">
        <f t="shared" si="0"/>
        <v>12.560000000000002</v>
      </c>
      <c r="L22" s="13">
        <v>0.26</v>
      </c>
      <c r="M22" s="11">
        <v>500</v>
      </c>
      <c r="N22" s="11"/>
      <c r="O22" s="13">
        <f t="shared" si="1"/>
        <v>25.679999999999993</v>
      </c>
      <c r="P22" s="13">
        <v>0.61</v>
      </c>
      <c r="Q22" s="11">
        <v>500</v>
      </c>
      <c r="R22" s="11"/>
      <c r="S22" s="13">
        <f t="shared" si="2"/>
        <v>56.961000000000006</v>
      </c>
      <c r="T22" s="13">
        <v>1.5</v>
      </c>
      <c r="U22" s="11">
        <v>500</v>
      </c>
      <c r="V22" s="13"/>
      <c r="W22" s="13">
        <f t="shared" si="3"/>
        <v>131.78000000000003</v>
      </c>
      <c r="X22" s="13">
        <v>3.62</v>
      </c>
      <c r="Y22" s="11">
        <v>500</v>
      </c>
      <c r="Z22" s="13"/>
      <c r="AA22" s="13">
        <f t="shared" si="4"/>
        <v>273.97000000000003</v>
      </c>
      <c r="AB22" s="13">
        <v>7.65</v>
      </c>
      <c r="AC22" s="11">
        <v>500</v>
      </c>
      <c r="AD22" s="13"/>
      <c r="AE22" s="13">
        <f t="shared" si="5"/>
        <v>596.52999999999986</v>
      </c>
      <c r="AF22" s="13">
        <v>16.5</v>
      </c>
      <c r="AG22" s="11">
        <v>500</v>
      </c>
      <c r="AH22" s="11"/>
      <c r="AI22" s="13">
        <f t="shared" si="6"/>
        <v>1040.5</v>
      </c>
      <c r="AJ22" s="13">
        <v>29.3</v>
      </c>
      <c r="AK22" s="11">
        <v>500</v>
      </c>
      <c r="AL22" s="11"/>
      <c r="AM22" s="13">
        <f t="shared" si="7"/>
        <v>2198.1</v>
      </c>
      <c r="AN22" s="13">
        <v>65.2</v>
      </c>
      <c r="AO22" s="11">
        <v>500</v>
      </c>
      <c r="AP22" s="11"/>
      <c r="AQ22" s="35">
        <v>10.202000000000002</v>
      </c>
      <c r="AR22" s="35">
        <f t="shared" si="20"/>
        <v>0.3100000000000005</v>
      </c>
      <c r="AS22" s="11">
        <v>500</v>
      </c>
      <c r="AT22" s="34"/>
      <c r="AU22" s="13">
        <f t="shared" si="8"/>
        <v>18.429999999999996</v>
      </c>
      <c r="AV22" s="13">
        <v>0.70499999999999996</v>
      </c>
      <c r="AW22" s="11">
        <v>500</v>
      </c>
      <c r="AX22" s="11"/>
      <c r="AY22" s="13">
        <f t="shared" si="9"/>
        <v>65.534999999999997</v>
      </c>
      <c r="AZ22" s="13">
        <v>2.46</v>
      </c>
      <c r="BA22" s="11">
        <v>500</v>
      </c>
      <c r="BB22" s="11"/>
      <c r="BC22" s="13">
        <f t="shared" si="10"/>
        <v>659.9</v>
      </c>
      <c r="BD22" s="13">
        <v>20.5</v>
      </c>
      <c r="BE22" s="11">
        <v>500</v>
      </c>
      <c r="BF22" s="11"/>
      <c r="BG22" s="13">
        <f t="shared" si="21"/>
        <v>1.974</v>
      </c>
      <c r="BH22" s="13">
        <v>6.0999999999999999E-2</v>
      </c>
      <c r="BI22" s="11">
        <v>800</v>
      </c>
      <c r="BJ22" s="11"/>
      <c r="BK22" s="13">
        <f t="shared" si="11"/>
        <v>1.6159999999999994</v>
      </c>
      <c r="BL22" s="13">
        <v>4.5999999999999999E-2</v>
      </c>
      <c r="BM22" s="11">
        <v>800</v>
      </c>
      <c r="BN22" s="11"/>
      <c r="BO22" s="13">
        <f t="shared" si="22"/>
        <v>4.42</v>
      </c>
      <c r="BP22" s="13">
        <v>0.27</v>
      </c>
      <c r="BQ22" s="11">
        <v>800</v>
      </c>
      <c r="BR22" s="11"/>
      <c r="BS22" s="13">
        <f t="shared" si="12"/>
        <v>6.8720000000000017</v>
      </c>
      <c r="BT22" s="13">
        <v>0.23400000000000001</v>
      </c>
      <c r="BU22" s="11">
        <v>800</v>
      </c>
      <c r="BV22" s="11"/>
      <c r="BW22" s="13">
        <f t="shared" si="13"/>
        <v>3.2319999999999989</v>
      </c>
      <c r="BX22" s="13">
        <v>9.1999999999999998E-2</v>
      </c>
      <c r="BY22" s="11">
        <v>800</v>
      </c>
      <c r="BZ22" s="11"/>
      <c r="CA22" s="13">
        <f t="shared" si="14"/>
        <v>14.228</v>
      </c>
      <c r="CB22" s="13">
        <v>0.48499999999999999</v>
      </c>
      <c r="CC22" s="11">
        <v>800</v>
      </c>
      <c r="CD22" s="11"/>
      <c r="CE22" s="13">
        <f t="shared" si="15"/>
        <v>15.040000000000001</v>
      </c>
      <c r="CF22" s="13">
        <v>0.84</v>
      </c>
      <c r="CG22" s="23">
        <v>800</v>
      </c>
      <c r="CH22" s="11"/>
      <c r="CI22" s="13">
        <f t="shared" si="16"/>
        <v>46.499999999999993</v>
      </c>
      <c r="CJ22" s="13">
        <v>3</v>
      </c>
      <c r="CK22" s="23">
        <v>800</v>
      </c>
      <c r="CL22" s="11"/>
      <c r="CM22" s="13">
        <f t="shared" si="17"/>
        <v>53.650000000000006</v>
      </c>
      <c r="CN22" s="13">
        <v>3.95</v>
      </c>
      <c r="CO22" s="23">
        <v>800</v>
      </c>
      <c r="CP22" s="11"/>
      <c r="CQ22" s="13">
        <f t="shared" si="18"/>
        <v>63</v>
      </c>
      <c r="CR22" s="13">
        <v>3.5</v>
      </c>
      <c r="CS22" s="23">
        <v>800</v>
      </c>
      <c r="CT22" s="11"/>
      <c r="CU22" s="34">
        <v>1456</v>
      </c>
      <c r="CV22" s="34">
        <v>43</v>
      </c>
      <c r="CW22" s="11">
        <v>500</v>
      </c>
      <c r="CX22" s="34"/>
      <c r="CY22" s="34">
        <v>3069</v>
      </c>
      <c r="CZ22" s="34">
        <v>93</v>
      </c>
      <c r="DA22" s="11">
        <v>500</v>
      </c>
      <c r="DB22" s="34"/>
      <c r="DC22" s="34"/>
      <c r="DD22" s="50"/>
      <c r="DE22" s="50"/>
      <c r="DF22" s="50"/>
      <c r="DG22" s="50"/>
      <c r="DH22" s="50"/>
    </row>
    <row r="23" spans="1:112" ht="12.5" customHeight="1" x14ac:dyDescent="0.35">
      <c r="A23" s="2"/>
      <c r="B23" s="78"/>
      <c r="C23" s="30"/>
      <c r="D23" s="31"/>
      <c r="E23" s="20"/>
      <c r="F23" s="21"/>
      <c r="G23" s="35">
        <v>8.1519999999999992</v>
      </c>
      <c r="H23" s="35">
        <f t="shared" si="19"/>
        <v>0.16699999999999982</v>
      </c>
      <c r="I23" s="11">
        <v>450</v>
      </c>
      <c r="J23" s="34"/>
      <c r="K23" s="13">
        <f t="shared" si="0"/>
        <v>12.833000000000002</v>
      </c>
      <c r="L23" s="13">
        <v>0.27300000000000002</v>
      </c>
      <c r="M23" s="11">
        <v>450</v>
      </c>
      <c r="N23" s="11"/>
      <c r="O23" s="13">
        <f t="shared" si="1"/>
        <v>26.336999999999993</v>
      </c>
      <c r="P23" s="13">
        <v>0.65700000000000003</v>
      </c>
      <c r="Q23" s="11">
        <v>450</v>
      </c>
      <c r="R23" s="11"/>
      <c r="S23" s="13">
        <f t="shared" si="2"/>
        <v>58.601000000000006</v>
      </c>
      <c r="T23" s="13">
        <v>1.64</v>
      </c>
      <c r="U23" s="11">
        <v>450</v>
      </c>
      <c r="V23" s="13"/>
      <c r="W23" s="13">
        <f t="shared" si="3"/>
        <v>135.74000000000004</v>
      </c>
      <c r="X23" s="13">
        <v>3.96</v>
      </c>
      <c r="Y23" s="11">
        <v>450</v>
      </c>
      <c r="Z23" s="13"/>
      <c r="AA23" s="13">
        <f t="shared" si="4"/>
        <v>282.17</v>
      </c>
      <c r="AB23" s="13">
        <v>8.1999999999999993</v>
      </c>
      <c r="AC23" s="11">
        <v>450</v>
      </c>
      <c r="AD23" s="13"/>
      <c r="AE23" s="13">
        <f t="shared" si="5"/>
        <v>614.12999999999988</v>
      </c>
      <c r="AF23" s="13">
        <v>17.600000000000001</v>
      </c>
      <c r="AG23" s="11">
        <v>450</v>
      </c>
      <c r="AH23" s="11"/>
      <c r="AI23" s="13">
        <f t="shared" si="6"/>
        <v>1071.8</v>
      </c>
      <c r="AJ23" s="13">
        <v>31.3</v>
      </c>
      <c r="AK23" s="11">
        <v>450</v>
      </c>
      <c r="AL23" s="11"/>
      <c r="AM23" s="13">
        <f t="shared" si="7"/>
        <v>2267.7999999999997</v>
      </c>
      <c r="AN23" s="13">
        <v>69.7</v>
      </c>
      <c r="AO23" s="11">
        <v>450</v>
      </c>
      <c r="AP23" s="11"/>
      <c r="AQ23" s="35">
        <v>10.527000000000001</v>
      </c>
      <c r="AR23" s="35">
        <f t="shared" si="20"/>
        <v>0.32499999999999929</v>
      </c>
      <c r="AS23" s="11">
        <v>450</v>
      </c>
      <c r="AT23" s="34"/>
      <c r="AU23" s="13">
        <f t="shared" si="8"/>
        <v>19.204999999999995</v>
      </c>
      <c r="AV23" s="13">
        <v>0.77500000000000002</v>
      </c>
      <c r="AW23" s="11">
        <v>450</v>
      </c>
      <c r="AX23" s="11"/>
      <c r="AY23" s="13">
        <f t="shared" si="9"/>
        <v>68.274999999999991</v>
      </c>
      <c r="AZ23" s="13">
        <v>2.74</v>
      </c>
      <c r="BA23" s="11">
        <v>450</v>
      </c>
      <c r="BB23" s="11"/>
      <c r="BC23" s="13">
        <f t="shared" si="10"/>
        <v>682</v>
      </c>
      <c r="BD23" s="13">
        <v>22.1</v>
      </c>
      <c r="BE23" s="11">
        <v>450</v>
      </c>
      <c r="BF23" s="11"/>
      <c r="BG23" s="13">
        <f t="shared" si="21"/>
        <v>2.0350000000000001</v>
      </c>
      <c r="BH23" s="13">
        <v>6.0999999999999999E-2</v>
      </c>
      <c r="BI23" s="11">
        <v>850</v>
      </c>
      <c r="BJ23" s="11"/>
      <c r="BK23" s="13">
        <f t="shared" si="11"/>
        <v>1.6619999999999995</v>
      </c>
      <c r="BL23" s="13">
        <v>4.5999999999999999E-2</v>
      </c>
      <c r="BM23" s="11">
        <v>850</v>
      </c>
      <c r="BN23" s="11"/>
      <c r="BO23" s="13">
        <f t="shared" si="22"/>
        <v>4.6899999999999995</v>
      </c>
      <c r="BP23" s="13">
        <v>0.27</v>
      </c>
      <c r="BQ23" s="11">
        <v>850</v>
      </c>
      <c r="BR23" s="11"/>
      <c r="BS23" s="13">
        <f t="shared" si="12"/>
        <v>7.1060000000000016</v>
      </c>
      <c r="BT23" s="13">
        <v>0.23799999999999999</v>
      </c>
      <c r="BU23" s="11">
        <v>850</v>
      </c>
      <c r="BV23" s="11"/>
      <c r="BW23" s="13">
        <f t="shared" si="13"/>
        <v>3.323999999999999</v>
      </c>
      <c r="BX23" s="13">
        <v>9.1999999999999998E-2</v>
      </c>
      <c r="BY23" s="11">
        <v>850</v>
      </c>
      <c r="BZ23" s="11"/>
      <c r="CA23" s="13">
        <f t="shared" si="14"/>
        <v>14.712999999999999</v>
      </c>
      <c r="CB23" s="13">
        <v>0.49399999999999999</v>
      </c>
      <c r="CC23" s="11">
        <v>850</v>
      </c>
      <c r="CD23" s="11"/>
      <c r="CE23" s="13">
        <f t="shared" si="15"/>
        <v>15.88</v>
      </c>
      <c r="CF23" s="13">
        <v>0.89</v>
      </c>
      <c r="CG23" s="23">
        <v>850</v>
      </c>
      <c r="CH23" s="11"/>
      <c r="CI23" s="13">
        <f t="shared" si="16"/>
        <v>49.499999999999993</v>
      </c>
      <c r="CJ23" s="13">
        <v>3.1</v>
      </c>
      <c r="CK23" s="23">
        <v>850</v>
      </c>
      <c r="CL23" s="11"/>
      <c r="CM23" s="13">
        <f t="shared" si="17"/>
        <v>57.600000000000009</v>
      </c>
      <c r="CN23" s="13">
        <v>4.04</v>
      </c>
      <c r="CO23" s="23">
        <v>850</v>
      </c>
      <c r="CP23" s="11"/>
      <c r="CQ23" s="13">
        <f t="shared" si="18"/>
        <v>66.5</v>
      </c>
      <c r="CR23" s="13">
        <v>3.4</v>
      </c>
      <c r="CS23" s="23">
        <v>850</v>
      </c>
      <c r="CT23" s="11"/>
      <c r="CU23" s="34">
        <v>1503</v>
      </c>
      <c r="CV23" s="34">
        <v>47</v>
      </c>
      <c r="CW23" s="11">
        <v>450</v>
      </c>
      <c r="CX23" s="34"/>
      <c r="CY23" s="34">
        <v>3167</v>
      </c>
      <c r="CZ23" s="34">
        <v>98</v>
      </c>
      <c r="DA23" s="11">
        <v>450</v>
      </c>
      <c r="DB23" s="34"/>
      <c r="DC23" s="34"/>
      <c r="DD23" s="50"/>
      <c r="DE23" s="50"/>
      <c r="DF23" s="50"/>
      <c r="DG23" s="50"/>
      <c r="DH23" s="50"/>
    </row>
    <row r="24" spans="1:112" ht="12.5" customHeight="1" x14ac:dyDescent="0.35">
      <c r="A24" s="2"/>
      <c r="B24" s="44" t="s">
        <v>12</v>
      </c>
      <c r="C24" s="33"/>
      <c r="D24" s="32" t="str">
        <f>IF(BJ5&gt;=0,BJ9,"")</f>
        <v/>
      </c>
      <c r="E24" s="20" t="str">
        <f>IF(BJ5=1,"Feil i resultat?",IF(BJ9=BJ10,"","Inkonsistent."))</f>
        <v/>
      </c>
      <c r="F24" s="3">
        <f>C24/100</f>
        <v>0</v>
      </c>
      <c r="G24" s="35">
        <v>8.327</v>
      </c>
      <c r="H24" s="35">
        <f t="shared" si="19"/>
        <v>0.17500000000000071</v>
      </c>
      <c r="I24" s="11">
        <v>400</v>
      </c>
      <c r="J24" s="34"/>
      <c r="K24" s="13">
        <f t="shared" si="0"/>
        <v>13.120000000000003</v>
      </c>
      <c r="L24" s="13">
        <v>0.28699999999999998</v>
      </c>
      <c r="M24" s="11">
        <v>400</v>
      </c>
      <c r="N24" s="11"/>
      <c r="O24" s="13">
        <f t="shared" si="1"/>
        <v>27.041999999999991</v>
      </c>
      <c r="P24" s="13">
        <v>0.70499999999999996</v>
      </c>
      <c r="Q24" s="11">
        <v>400</v>
      </c>
      <c r="R24" s="11"/>
      <c r="S24" s="13">
        <f t="shared" si="2"/>
        <v>60.376000000000005</v>
      </c>
      <c r="T24" s="13">
        <v>1.7749999999999999</v>
      </c>
      <c r="U24" s="11">
        <v>400</v>
      </c>
      <c r="V24" s="13"/>
      <c r="W24" s="13">
        <f t="shared" si="3"/>
        <v>140.03000000000003</v>
      </c>
      <c r="X24" s="13">
        <v>4.29</v>
      </c>
      <c r="Y24" s="11">
        <v>400</v>
      </c>
      <c r="Z24" s="13"/>
      <c r="AA24" s="13">
        <f t="shared" si="4"/>
        <v>290.94</v>
      </c>
      <c r="AB24" s="13">
        <v>8.77</v>
      </c>
      <c r="AC24" s="11">
        <v>400</v>
      </c>
      <c r="AD24" s="13"/>
      <c r="AE24" s="13">
        <f t="shared" si="5"/>
        <v>632.92999999999984</v>
      </c>
      <c r="AF24" s="13">
        <v>18.8</v>
      </c>
      <c r="AG24" s="11">
        <v>400</v>
      </c>
      <c r="AH24" s="11"/>
      <c r="AI24" s="13">
        <f t="shared" si="6"/>
        <v>1105.3</v>
      </c>
      <c r="AJ24" s="13">
        <v>33.5</v>
      </c>
      <c r="AK24" s="11">
        <v>400</v>
      </c>
      <c r="AL24" s="11"/>
      <c r="AM24" s="13">
        <f t="shared" si="7"/>
        <v>2342.6</v>
      </c>
      <c r="AN24" s="13">
        <v>74.8</v>
      </c>
      <c r="AO24" s="11">
        <v>400</v>
      </c>
      <c r="AP24" s="11"/>
      <c r="AQ24" s="35">
        <v>10.867000000000001</v>
      </c>
      <c r="AR24" s="35">
        <f t="shared" si="20"/>
        <v>0.33999999999999986</v>
      </c>
      <c r="AS24" s="11">
        <v>400</v>
      </c>
      <c r="AT24" s="34"/>
      <c r="AU24" s="13">
        <f t="shared" si="8"/>
        <v>20.059999999999995</v>
      </c>
      <c r="AV24" s="13">
        <v>0.85499999999999998</v>
      </c>
      <c r="AW24" s="11">
        <v>400</v>
      </c>
      <c r="AX24" s="11"/>
      <c r="AY24" s="13">
        <f t="shared" si="9"/>
        <v>71.314999999999998</v>
      </c>
      <c r="AZ24" s="13">
        <v>3.04</v>
      </c>
      <c r="BA24" s="11">
        <v>400</v>
      </c>
      <c r="BB24" s="11"/>
      <c r="BC24" s="13">
        <f t="shared" si="10"/>
        <v>705.9</v>
      </c>
      <c r="BD24" s="13">
        <v>23.9</v>
      </c>
      <c r="BE24" s="11">
        <v>400</v>
      </c>
      <c r="BF24" s="11"/>
      <c r="BG24" s="13">
        <f t="shared" si="21"/>
        <v>2.0960000000000001</v>
      </c>
      <c r="BH24" s="13">
        <v>6.0999999999999999E-2</v>
      </c>
      <c r="BI24" s="11">
        <v>900</v>
      </c>
      <c r="BJ24" s="11"/>
      <c r="BK24" s="13">
        <f t="shared" si="11"/>
        <v>1.7079999999999995</v>
      </c>
      <c r="BL24" s="13">
        <v>4.5999999999999999E-2</v>
      </c>
      <c r="BM24" s="11">
        <v>900</v>
      </c>
      <c r="BN24" s="11"/>
      <c r="BO24" s="13">
        <f t="shared" si="22"/>
        <v>4.9599999999999991</v>
      </c>
      <c r="BP24" s="13">
        <v>0.25</v>
      </c>
      <c r="BQ24" s="11">
        <v>900</v>
      </c>
      <c r="BR24" s="11"/>
      <c r="BS24" s="13">
        <f t="shared" si="12"/>
        <v>7.3440000000000012</v>
      </c>
      <c r="BT24" s="13">
        <v>0.24399999999999999</v>
      </c>
      <c r="BU24" s="11">
        <v>900</v>
      </c>
      <c r="BV24" s="11"/>
      <c r="BW24" s="13">
        <f t="shared" si="13"/>
        <v>3.415999999999999</v>
      </c>
      <c r="BX24" s="13">
        <v>9.1999999999999998E-2</v>
      </c>
      <c r="BY24" s="11">
        <v>900</v>
      </c>
      <c r="BZ24" s="11"/>
      <c r="CA24" s="13">
        <f t="shared" si="14"/>
        <v>15.206999999999999</v>
      </c>
      <c r="CB24" s="13">
        <v>0.50600000000000001</v>
      </c>
      <c r="CC24" s="11">
        <v>900</v>
      </c>
      <c r="CD24" s="11"/>
      <c r="CE24" s="13">
        <f t="shared" si="15"/>
        <v>16.77</v>
      </c>
      <c r="CF24" s="13">
        <v>0.94</v>
      </c>
      <c r="CG24" s="23">
        <v>900</v>
      </c>
      <c r="CH24" s="11"/>
      <c r="CI24" s="13">
        <f t="shared" si="16"/>
        <v>52.599999999999994</v>
      </c>
      <c r="CJ24" s="13">
        <v>3.25</v>
      </c>
      <c r="CK24" s="23">
        <v>900</v>
      </c>
      <c r="CL24" s="11"/>
      <c r="CM24" s="13">
        <f t="shared" si="17"/>
        <v>61.640000000000008</v>
      </c>
      <c r="CN24" s="13">
        <v>4.12</v>
      </c>
      <c r="CO24" s="23">
        <v>900</v>
      </c>
      <c r="CP24" s="11"/>
      <c r="CQ24" s="13">
        <f t="shared" si="18"/>
        <v>69.900000000000006</v>
      </c>
      <c r="CR24" s="13">
        <v>3.4</v>
      </c>
      <c r="CS24" s="23">
        <v>900</v>
      </c>
      <c r="CT24" s="11"/>
      <c r="CU24" s="34">
        <v>1554</v>
      </c>
      <c r="CV24" s="34">
        <v>51</v>
      </c>
      <c r="CW24" s="11">
        <v>400</v>
      </c>
      <c r="CX24" s="34"/>
      <c r="CY24" s="34">
        <v>3273</v>
      </c>
      <c r="CZ24" s="34">
        <v>106</v>
      </c>
      <c r="DA24" s="11">
        <v>400</v>
      </c>
      <c r="DB24" s="34"/>
      <c r="DC24" s="34"/>
      <c r="DD24" s="50"/>
      <c r="DE24" s="50"/>
      <c r="DF24" s="50"/>
      <c r="DG24" s="50"/>
      <c r="DH24" s="50"/>
    </row>
    <row r="25" spans="1:112" ht="12.5" customHeight="1" x14ac:dyDescent="0.35">
      <c r="A25" s="2"/>
      <c r="B25" s="45" t="s">
        <v>46</v>
      </c>
      <c r="C25" s="33"/>
      <c r="D25" s="32" t="str">
        <f>IF(BN5&gt;=0,BN9,"")</f>
        <v/>
      </c>
      <c r="E25" s="20" t="str">
        <f>IF(BN5=1,"Feil i resultat?",IF(BN9=BN10,"","Inkonsistent."))</f>
        <v/>
      </c>
      <c r="F25" s="3">
        <f t="shared" ref="F25:F29" si="23">C25/100</f>
        <v>0</v>
      </c>
      <c r="G25" s="35">
        <v>8.51</v>
      </c>
      <c r="H25" s="35">
        <f t="shared" si="19"/>
        <v>0.18299999999999983</v>
      </c>
      <c r="I25" s="11">
        <v>350</v>
      </c>
      <c r="J25" s="34"/>
      <c r="K25" s="13">
        <f t="shared" si="0"/>
        <v>13.422000000000002</v>
      </c>
      <c r="L25" s="13">
        <v>0.30199999999999999</v>
      </c>
      <c r="M25" s="11">
        <v>350</v>
      </c>
      <c r="N25" s="11"/>
      <c r="O25" s="13">
        <f t="shared" si="1"/>
        <v>27.794999999999991</v>
      </c>
      <c r="P25" s="13">
        <v>0.753</v>
      </c>
      <c r="Q25" s="11">
        <v>350</v>
      </c>
      <c r="R25" s="11"/>
      <c r="S25" s="13">
        <f t="shared" si="2"/>
        <v>62.286000000000001</v>
      </c>
      <c r="T25" s="13">
        <v>1.91</v>
      </c>
      <c r="U25" s="11">
        <v>350</v>
      </c>
      <c r="V25" s="13"/>
      <c r="W25" s="13">
        <f t="shared" si="3"/>
        <v>144.65000000000003</v>
      </c>
      <c r="X25" s="13">
        <v>4.62</v>
      </c>
      <c r="Y25" s="11">
        <v>350</v>
      </c>
      <c r="Z25" s="13"/>
      <c r="AA25" s="13">
        <f t="shared" si="4"/>
        <v>300.31</v>
      </c>
      <c r="AB25" s="13">
        <v>9.3699999999999992</v>
      </c>
      <c r="AC25" s="11">
        <v>350</v>
      </c>
      <c r="AD25" s="13"/>
      <c r="AE25" s="13">
        <f t="shared" si="5"/>
        <v>653.12999999999988</v>
      </c>
      <c r="AF25" s="13">
        <v>20.2</v>
      </c>
      <c r="AG25" s="11">
        <v>350</v>
      </c>
      <c r="AH25" s="11"/>
      <c r="AI25" s="13">
        <f t="shared" si="6"/>
        <v>1141.3</v>
      </c>
      <c r="AJ25" s="13">
        <v>36</v>
      </c>
      <c r="AK25" s="11">
        <v>350</v>
      </c>
      <c r="AL25" s="11"/>
      <c r="AM25" s="13">
        <f t="shared" si="7"/>
        <v>2423.4</v>
      </c>
      <c r="AN25" s="13">
        <v>80.8</v>
      </c>
      <c r="AO25" s="11">
        <v>350</v>
      </c>
      <c r="AP25" s="11"/>
      <c r="AQ25" s="35">
        <v>11.222000000000001</v>
      </c>
      <c r="AR25" s="35">
        <f t="shared" si="20"/>
        <v>0.35500000000000043</v>
      </c>
      <c r="AS25" s="11">
        <v>350</v>
      </c>
      <c r="AT25" s="34"/>
      <c r="AU25" s="13">
        <f t="shared" si="8"/>
        <v>20.999999999999996</v>
      </c>
      <c r="AV25" s="13">
        <v>0.94</v>
      </c>
      <c r="AW25" s="11">
        <v>350</v>
      </c>
      <c r="AX25" s="11"/>
      <c r="AY25" s="13">
        <f t="shared" si="9"/>
        <v>74.685000000000002</v>
      </c>
      <c r="AZ25" s="13">
        <v>3.37</v>
      </c>
      <c r="BA25" s="11">
        <v>350</v>
      </c>
      <c r="BB25" s="11"/>
      <c r="BC25" s="13">
        <f t="shared" si="10"/>
        <v>732</v>
      </c>
      <c r="BD25" s="13">
        <v>26.1</v>
      </c>
      <c r="BE25" s="11">
        <v>350</v>
      </c>
      <c r="BF25" s="11"/>
      <c r="BG25" s="13">
        <f t="shared" si="21"/>
        <v>2.157</v>
      </c>
      <c r="BH25" s="13">
        <v>6.0999999999999999E-2</v>
      </c>
      <c r="BI25" s="11">
        <v>950</v>
      </c>
      <c r="BJ25" s="11"/>
      <c r="BK25" s="13">
        <f t="shared" si="11"/>
        <v>1.7539999999999996</v>
      </c>
      <c r="BL25" s="13">
        <v>4.5999999999999999E-2</v>
      </c>
      <c r="BM25" s="11">
        <v>950</v>
      </c>
      <c r="BN25" s="11"/>
      <c r="BO25" s="13">
        <f t="shared" si="22"/>
        <v>5.2099999999999991</v>
      </c>
      <c r="BP25" s="13">
        <v>0.23</v>
      </c>
      <c r="BQ25" s="11">
        <v>950</v>
      </c>
      <c r="BR25" s="11"/>
      <c r="BS25" s="13">
        <f t="shared" si="12"/>
        <v>7.588000000000001</v>
      </c>
      <c r="BT25" s="13">
        <v>0.252</v>
      </c>
      <c r="BU25" s="11">
        <v>950</v>
      </c>
      <c r="BV25" s="11"/>
      <c r="BW25" s="13">
        <f t="shared" si="13"/>
        <v>3.5079999999999991</v>
      </c>
      <c r="BX25" s="13">
        <v>9.1999999999999998E-2</v>
      </c>
      <c r="BY25" s="11">
        <v>950</v>
      </c>
      <c r="BZ25" s="11"/>
      <c r="CA25" s="13">
        <f t="shared" si="14"/>
        <v>15.712999999999999</v>
      </c>
      <c r="CB25" s="13">
        <v>0.52200000000000002</v>
      </c>
      <c r="CC25" s="11">
        <v>950</v>
      </c>
      <c r="CD25" s="11"/>
      <c r="CE25" s="13">
        <f t="shared" si="15"/>
        <v>17.71</v>
      </c>
      <c r="CF25" s="13">
        <v>0.98</v>
      </c>
      <c r="CG25" s="23">
        <v>950</v>
      </c>
      <c r="CH25" s="11"/>
      <c r="CI25" s="13">
        <f t="shared" si="16"/>
        <v>55.849999999999994</v>
      </c>
      <c r="CJ25" s="13">
        <v>3.4</v>
      </c>
      <c r="CK25" s="23">
        <v>950</v>
      </c>
      <c r="CL25" s="11"/>
      <c r="CM25" s="13">
        <f t="shared" si="17"/>
        <v>65.760000000000005</v>
      </c>
      <c r="CN25" s="13">
        <v>4.1900000000000004</v>
      </c>
      <c r="CO25" s="23">
        <v>950</v>
      </c>
      <c r="CP25" s="11"/>
      <c r="CQ25" s="13">
        <f t="shared" si="18"/>
        <v>73.300000000000011</v>
      </c>
      <c r="CR25" s="13">
        <v>3.6</v>
      </c>
      <c r="CS25" s="23">
        <v>950</v>
      </c>
      <c r="CT25" s="11"/>
      <c r="CU25" s="34">
        <v>1608</v>
      </c>
      <c r="CV25" s="34">
        <v>54</v>
      </c>
      <c r="CW25" s="11">
        <v>350</v>
      </c>
      <c r="CX25" s="34"/>
      <c r="CY25" s="34">
        <v>3388</v>
      </c>
      <c r="CZ25" s="34">
        <v>115</v>
      </c>
      <c r="DA25" s="11">
        <v>350</v>
      </c>
      <c r="DB25" s="34"/>
      <c r="DC25" s="34"/>
      <c r="DD25" s="50"/>
      <c r="DE25" s="50"/>
      <c r="DF25" s="50"/>
      <c r="DG25" s="50"/>
      <c r="DH25" s="50"/>
    </row>
    <row r="26" spans="1:112" ht="12.5" customHeight="1" x14ac:dyDescent="0.35">
      <c r="A26" s="2"/>
      <c r="B26" s="45" t="s">
        <v>11</v>
      </c>
      <c r="C26" s="33"/>
      <c r="D26" s="32" t="str">
        <f>IF(BR5&gt;=0,BR9,"")</f>
        <v/>
      </c>
      <c r="E26" s="20" t="str">
        <f>IF(BR5=1,"Feil i resultat?",IF(BR9=BR10,"","Inkonsistent."))</f>
        <v/>
      </c>
      <c r="F26" s="3">
        <f t="shared" si="23"/>
        <v>0</v>
      </c>
      <c r="G26" s="35">
        <v>8.7010000000000005</v>
      </c>
      <c r="H26" s="35">
        <f t="shared" si="19"/>
        <v>0.19100000000000072</v>
      </c>
      <c r="I26" s="11">
        <v>300</v>
      </c>
      <c r="J26" s="34"/>
      <c r="K26" s="13">
        <f t="shared" si="0"/>
        <v>13.741000000000003</v>
      </c>
      <c r="L26" s="13">
        <v>0.31900000000000001</v>
      </c>
      <c r="M26" s="11">
        <v>300</v>
      </c>
      <c r="N26" s="11"/>
      <c r="O26" s="13">
        <f t="shared" si="1"/>
        <v>28.595999999999989</v>
      </c>
      <c r="P26" s="13">
        <v>0.80100000000000005</v>
      </c>
      <c r="Q26" s="11">
        <v>300</v>
      </c>
      <c r="R26" s="11"/>
      <c r="S26" s="13">
        <f t="shared" si="2"/>
        <v>64.320999999999998</v>
      </c>
      <c r="T26" s="13">
        <v>2.0350000000000001</v>
      </c>
      <c r="U26" s="11">
        <v>300</v>
      </c>
      <c r="V26" s="13"/>
      <c r="W26" s="13">
        <f t="shared" si="3"/>
        <v>149.59000000000003</v>
      </c>
      <c r="X26" s="13">
        <v>4.9400000000000004</v>
      </c>
      <c r="Y26" s="11">
        <v>300</v>
      </c>
      <c r="Z26" s="13"/>
      <c r="AA26" s="13">
        <f t="shared" si="4"/>
        <v>310.33</v>
      </c>
      <c r="AB26" s="13">
        <v>10.02</v>
      </c>
      <c r="AC26" s="11">
        <v>300</v>
      </c>
      <c r="AD26" s="13"/>
      <c r="AE26" s="13">
        <f t="shared" si="5"/>
        <v>674.92999999999984</v>
      </c>
      <c r="AF26" s="13">
        <v>21.8</v>
      </c>
      <c r="AG26" s="11">
        <v>300</v>
      </c>
      <c r="AH26" s="11"/>
      <c r="AI26" s="13">
        <f t="shared" si="6"/>
        <v>1180.3</v>
      </c>
      <c r="AJ26" s="13">
        <v>39</v>
      </c>
      <c r="AK26" s="11">
        <v>300</v>
      </c>
      <c r="AL26" s="11"/>
      <c r="AM26" s="13">
        <f t="shared" si="7"/>
        <v>2511.7000000000003</v>
      </c>
      <c r="AN26" s="13">
        <v>88.3</v>
      </c>
      <c r="AO26" s="11">
        <v>300</v>
      </c>
      <c r="AP26" s="11"/>
      <c r="AQ26" s="35">
        <v>11.592000000000001</v>
      </c>
      <c r="AR26" s="35">
        <f t="shared" si="20"/>
        <v>0.36999999999999922</v>
      </c>
      <c r="AS26" s="11">
        <v>300</v>
      </c>
      <c r="AT26" s="34"/>
      <c r="AU26" s="13">
        <f t="shared" si="8"/>
        <v>22.029999999999998</v>
      </c>
      <c r="AV26" s="13">
        <v>1.03</v>
      </c>
      <c r="AW26" s="11">
        <v>300</v>
      </c>
      <c r="AX26" s="11"/>
      <c r="AY26" s="13">
        <f t="shared" si="9"/>
        <v>78.424999999999997</v>
      </c>
      <c r="AZ26" s="13">
        <v>3.74</v>
      </c>
      <c r="BA26" s="11">
        <v>300</v>
      </c>
      <c r="BB26" s="11"/>
      <c r="BC26" s="13">
        <f t="shared" si="10"/>
        <v>760.9</v>
      </c>
      <c r="BD26" s="13">
        <v>28.9</v>
      </c>
      <c r="BE26" s="11">
        <v>300</v>
      </c>
      <c r="BF26" s="11"/>
      <c r="BG26" s="13">
        <f t="shared" si="21"/>
        <v>2.218</v>
      </c>
      <c r="BH26" s="13">
        <v>6.0999999999999999E-2</v>
      </c>
      <c r="BI26" s="11">
        <v>1000</v>
      </c>
      <c r="BJ26" s="11"/>
      <c r="BK26" s="13">
        <f t="shared" si="11"/>
        <v>1.7999999999999996</v>
      </c>
      <c r="BL26" s="13">
        <v>0.05</v>
      </c>
      <c r="BM26" s="11">
        <v>1000</v>
      </c>
      <c r="BN26" s="11"/>
      <c r="BO26" s="13">
        <f t="shared" si="22"/>
        <v>5.4399999999999995</v>
      </c>
      <c r="BP26" s="13">
        <v>0.21</v>
      </c>
      <c r="BQ26" s="11">
        <v>1000</v>
      </c>
      <c r="BR26" s="11"/>
      <c r="BS26" s="13">
        <f t="shared" si="12"/>
        <v>7.8400000000000007</v>
      </c>
      <c r="BT26" s="13">
        <v>0.26200000000000001</v>
      </c>
      <c r="BU26" s="11">
        <v>1000</v>
      </c>
      <c r="BV26" s="11"/>
      <c r="BW26" s="13">
        <f t="shared" si="13"/>
        <v>3.5999999999999992</v>
      </c>
      <c r="BX26" s="13">
        <v>0.1</v>
      </c>
      <c r="BY26" s="11">
        <v>1000</v>
      </c>
      <c r="BZ26" s="11"/>
      <c r="CA26" s="13">
        <f t="shared" si="14"/>
        <v>16.234999999999999</v>
      </c>
      <c r="CB26" s="13">
        <v>0.55000000000000004</v>
      </c>
      <c r="CC26" s="11">
        <v>1000</v>
      </c>
      <c r="CD26" s="11"/>
      <c r="CE26" s="13">
        <f t="shared" si="15"/>
        <v>18.690000000000001</v>
      </c>
      <c r="CF26" s="13">
        <v>1.02</v>
      </c>
      <c r="CG26" s="23">
        <v>1000</v>
      </c>
      <c r="CH26" s="11"/>
      <c r="CI26" s="13">
        <f t="shared" si="16"/>
        <v>59.249999999999993</v>
      </c>
      <c r="CJ26" s="13">
        <v>3.55</v>
      </c>
      <c r="CK26" s="23">
        <v>1000</v>
      </c>
      <c r="CL26" s="11"/>
      <c r="CM26" s="13">
        <f t="shared" si="17"/>
        <v>69.95</v>
      </c>
      <c r="CN26" s="13">
        <v>4.25</v>
      </c>
      <c r="CO26" s="23">
        <v>1000</v>
      </c>
      <c r="CP26" s="11"/>
      <c r="CQ26" s="13">
        <f t="shared" si="18"/>
        <v>76.900000000000006</v>
      </c>
      <c r="CR26" s="13">
        <v>4.0999999999999996</v>
      </c>
      <c r="CS26" s="23">
        <v>1000</v>
      </c>
      <c r="CT26" s="11"/>
      <c r="CU26" s="34">
        <v>1668</v>
      </c>
      <c r="CV26" s="34">
        <v>60</v>
      </c>
      <c r="CW26" s="11">
        <v>300</v>
      </c>
      <c r="CX26" s="34"/>
      <c r="CY26" s="34">
        <v>3514</v>
      </c>
      <c r="CZ26" s="34">
        <v>126</v>
      </c>
      <c r="DA26" s="11">
        <v>300</v>
      </c>
      <c r="DB26" s="34"/>
      <c r="DC26" s="34"/>
      <c r="DD26" s="50"/>
      <c r="DE26" s="50"/>
      <c r="DF26" s="50"/>
      <c r="DG26" s="50"/>
      <c r="DH26" s="50"/>
    </row>
    <row r="27" spans="1:112" ht="12.5" customHeight="1" x14ac:dyDescent="0.35">
      <c r="A27" s="2"/>
      <c r="B27" s="45" t="s">
        <v>17</v>
      </c>
      <c r="C27" s="33"/>
      <c r="D27" s="32" t="str">
        <f>IF(BV5&gt;=0,BV9,"")</f>
        <v/>
      </c>
      <c r="E27" s="20" t="str">
        <f>IF(BV5=1,"Feil i resultat?",IF(BV9=BV10,"","Inkonsistent."))</f>
        <v/>
      </c>
      <c r="F27" s="3">
        <f t="shared" si="23"/>
        <v>0</v>
      </c>
      <c r="G27" s="35">
        <v>8.9009999999999998</v>
      </c>
      <c r="H27" s="35">
        <f t="shared" si="19"/>
        <v>0.19999999999999929</v>
      </c>
      <c r="I27" s="11">
        <v>250</v>
      </c>
      <c r="J27" s="34"/>
      <c r="K27" s="13">
        <f t="shared" si="0"/>
        <v>14.079000000000002</v>
      </c>
      <c r="L27" s="13">
        <v>0.33800000000000002</v>
      </c>
      <c r="M27" s="11">
        <v>250</v>
      </c>
      <c r="N27" s="11"/>
      <c r="O27" s="13">
        <f t="shared" si="1"/>
        <v>29.44499999999999</v>
      </c>
      <c r="P27" s="13">
        <v>0.84899999999999998</v>
      </c>
      <c r="Q27" s="11">
        <v>250</v>
      </c>
      <c r="R27" s="11"/>
      <c r="S27" s="13">
        <f t="shared" si="2"/>
        <v>66.471000000000004</v>
      </c>
      <c r="T27" s="13">
        <v>2.15</v>
      </c>
      <c r="U27" s="11">
        <v>250</v>
      </c>
      <c r="V27" s="13"/>
      <c r="W27" s="13">
        <f t="shared" si="3"/>
        <v>154.83000000000004</v>
      </c>
      <c r="X27" s="13">
        <v>5.24</v>
      </c>
      <c r="Y27" s="11">
        <v>250</v>
      </c>
      <c r="Z27" s="13"/>
      <c r="AA27" s="13">
        <f t="shared" si="4"/>
        <v>321.06</v>
      </c>
      <c r="AB27" s="13">
        <v>10.73</v>
      </c>
      <c r="AC27" s="11">
        <v>250</v>
      </c>
      <c r="AD27" s="13"/>
      <c r="AE27" s="13">
        <f t="shared" si="5"/>
        <v>698.62999999999988</v>
      </c>
      <c r="AF27" s="13">
        <v>23.7</v>
      </c>
      <c r="AG27" s="11">
        <v>250</v>
      </c>
      <c r="AH27" s="11"/>
      <c r="AI27" s="13">
        <f t="shared" si="6"/>
        <v>1222.8999999999999</v>
      </c>
      <c r="AJ27" s="13">
        <v>42.6</v>
      </c>
      <c r="AK27" s="11">
        <v>250</v>
      </c>
      <c r="AL27" s="11"/>
      <c r="AM27" s="13">
        <f t="shared" si="7"/>
        <v>2610.7000000000003</v>
      </c>
      <c r="AN27" s="13">
        <v>99</v>
      </c>
      <c r="AO27" s="11">
        <v>250</v>
      </c>
      <c r="AP27" s="11"/>
      <c r="AQ27" s="35">
        <v>11.977</v>
      </c>
      <c r="AR27" s="35">
        <f t="shared" si="20"/>
        <v>0.38499999999999979</v>
      </c>
      <c r="AS27" s="11">
        <v>250</v>
      </c>
      <c r="AT27" s="34"/>
      <c r="AU27" s="13">
        <f t="shared" si="8"/>
        <v>23.174999999999997</v>
      </c>
      <c r="AV27" s="13">
        <v>1.145</v>
      </c>
      <c r="AW27" s="11">
        <v>250</v>
      </c>
      <c r="AX27" s="11"/>
      <c r="AY27" s="13">
        <f t="shared" si="9"/>
        <v>82.524999999999991</v>
      </c>
      <c r="AZ27" s="13">
        <v>4.0999999999999996</v>
      </c>
      <c r="BA27" s="11">
        <v>250</v>
      </c>
      <c r="BB27" s="11"/>
      <c r="BC27" s="13">
        <f t="shared" si="10"/>
        <v>793.19999999999993</v>
      </c>
      <c r="BD27" s="13">
        <v>32.299999999999997</v>
      </c>
      <c r="BE27" s="11">
        <v>250</v>
      </c>
      <c r="BF27" s="11"/>
      <c r="BG27" s="13">
        <f t="shared" si="21"/>
        <v>2.2789999999999999</v>
      </c>
      <c r="BH27" s="13">
        <v>6.0999999999999999E-2</v>
      </c>
      <c r="BI27" s="11">
        <v>1050</v>
      </c>
      <c r="BJ27" s="11"/>
      <c r="BK27" s="13">
        <f t="shared" si="11"/>
        <v>1.8499999999999996</v>
      </c>
      <c r="BL27" s="13">
        <v>5.1999999999999998E-2</v>
      </c>
      <c r="BM27" s="11">
        <v>1050</v>
      </c>
      <c r="BN27" s="11"/>
      <c r="BO27" s="13">
        <f t="shared" si="22"/>
        <v>5.6499999999999995</v>
      </c>
      <c r="BP27" s="13">
        <v>0.19</v>
      </c>
      <c r="BQ27" s="11">
        <v>1050</v>
      </c>
      <c r="BR27" s="11"/>
      <c r="BS27" s="13">
        <f t="shared" si="12"/>
        <v>8.1020000000000003</v>
      </c>
      <c r="BT27" s="13">
        <v>0.27400000000000002</v>
      </c>
      <c r="BU27" s="11">
        <v>1050</v>
      </c>
      <c r="BV27" s="11"/>
      <c r="BW27" s="13">
        <f t="shared" si="13"/>
        <v>3.6999999999999993</v>
      </c>
      <c r="BX27" s="13">
        <v>0.104</v>
      </c>
      <c r="BY27" s="11">
        <v>1050</v>
      </c>
      <c r="BZ27" s="11"/>
      <c r="CA27" s="13">
        <f t="shared" si="14"/>
        <v>16.785</v>
      </c>
      <c r="CB27" s="13">
        <v>0.57999999999999996</v>
      </c>
      <c r="CC27" s="11">
        <v>1050</v>
      </c>
      <c r="CD27" s="11"/>
      <c r="CE27" s="13">
        <f t="shared" si="15"/>
        <v>19.71</v>
      </c>
      <c r="CF27" s="13">
        <v>1.05</v>
      </c>
      <c r="CG27" s="23">
        <v>1050</v>
      </c>
      <c r="CH27" s="11"/>
      <c r="CI27" s="13">
        <f t="shared" si="16"/>
        <v>62.79999999999999</v>
      </c>
      <c r="CJ27" s="13">
        <v>3.7</v>
      </c>
      <c r="CK27" s="23">
        <v>1050</v>
      </c>
      <c r="CL27" s="11"/>
      <c r="CM27" s="13">
        <f t="shared" si="17"/>
        <v>74.2</v>
      </c>
      <c r="CN27" s="13">
        <v>4.3</v>
      </c>
      <c r="CO27" s="23">
        <v>1050</v>
      </c>
      <c r="CP27" s="11"/>
      <c r="CQ27" s="13">
        <f t="shared" si="18"/>
        <v>81</v>
      </c>
      <c r="CR27" s="13">
        <v>4.6500000000000004</v>
      </c>
      <c r="CS27" s="23">
        <v>1050</v>
      </c>
      <c r="CT27" s="11"/>
      <c r="CU27" s="34">
        <v>1735</v>
      </c>
      <c r="CV27" s="34">
        <v>67</v>
      </c>
      <c r="CW27" s="11">
        <v>250</v>
      </c>
      <c r="CX27" s="34"/>
      <c r="CY27" s="34">
        <v>3655</v>
      </c>
      <c r="CZ27" s="34">
        <v>141</v>
      </c>
      <c r="DA27" s="11">
        <v>250</v>
      </c>
      <c r="DB27" s="34"/>
      <c r="DC27" s="34"/>
      <c r="DD27" s="50"/>
      <c r="DE27" s="50"/>
      <c r="DF27" s="50"/>
      <c r="DG27" s="50"/>
      <c r="DH27" s="50"/>
    </row>
    <row r="28" spans="1:112" ht="12.5" customHeight="1" x14ac:dyDescent="0.35">
      <c r="A28" s="2"/>
      <c r="B28" s="45" t="s">
        <v>47</v>
      </c>
      <c r="C28" s="33"/>
      <c r="D28" s="32" t="str">
        <f>IF(BZ5&gt;=0,BZ9,"")</f>
        <v/>
      </c>
      <c r="E28" s="20" t="str">
        <f>IF(BZ5=1,"Feil i resultat?",IF(BZ9=BZ10,"",""))</f>
        <v/>
      </c>
      <c r="F28" s="3">
        <f t="shared" si="23"/>
        <v>0</v>
      </c>
      <c r="G28" s="35">
        <v>9.1110000000000007</v>
      </c>
      <c r="H28" s="35">
        <f t="shared" si="19"/>
        <v>0.21000000000000085</v>
      </c>
      <c r="I28" s="11">
        <v>200</v>
      </c>
      <c r="J28" s="34"/>
      <c r="K28" s="13">
        <f t="shared" si="0"/>
        <v>14.438000000000002</v>
      </c>
      <c r="L28" s="13">
        <v>0.35899999999999999</v>
      </c>
      <c r="M28" s="11">
        <v>200</v>
      </c>
      <c r="N28" s="11"/>
      <c r="O28" s="13">
        <f t="shared" si="1"/>
        <v>30.341999999999988</v>
      </c>
      <c r="P28" s="13">
        <v>0.89700000000000002</v>
      </c>
      <c r="Q28" s="11">
        <v>200</v>
      </c>
      <c r="R28" s="11"/>
      <c r="S28" s="13">
        <f t="shared" si="2"/>
        <v>68.721000000000004</v>
      </c>
      <c r="T28" s="13">
        <v>2.25</v>
      </c>
      <c r="U28" s="11">
        <v>200</v>
      </c>
      <c r="V28" s="13"/>
      <c r="W28" s="13">
        <f t="shared" si="3"/>
        <v>160.35000000000005</v>
      </c>
      <c r="X28" s="13">
        <v>5.52</v>
      </c>
      <c r="Y28" s="11">
        <v>200</v>
      </c>
      <c r="Z28" s="13"/>
      <c r="AA28" s="13">
        <f t="shared" si="4"/>
        <v>332.57</v>
      </c>
      <c r="AB28" s="13">
        <v>11.51</v>
      </c>
      <c r="AC28" s="11">
        <v>200</v>
      </c>
      <c r="AD28" s="13"/>
      <c r="AE28" s="13">
        <f t="shared" si="5"/>
        <v>724.62999999999988</v>
      </c>
      <c r="AF28" s="13">
        <v>26</v>
      </c>
      <c r="AG28" s="11">
        <v>200</v>
      </c>
      <c r="AH28" s="11"/>
      <c r="AI28" s="13">
        <f t="shared" si="6"/>
        <v>1269.6999999999998</v>
      </c>
      <c r="AJ28" s="13">
        <v>46.8</v>
      </c>
      <c r="AK28" s="11">
        <v>200</v>
      </c>
      <c r="AL28" s="11"/>
      <c r="AM28" s="13">
        <f t="shared" si="7"/>
        <v>2720.7000000000003</v>
      </c>
      <c r="AN28" s="13">
        <v>110</v>
      </c>
      <c r="AO28" s="11">
        <v>200</v>
      </c>
      <c r="AP28" s="11"/>
      <c r="AQ28" s="35">
        <v>12.377000000000001</v>
      </c>
      <c r="AR28" s="35">
        <f t="shared" si="20"/>
        <v>0.40000000000000036</v>
      </c>
      <c r="AS28" s="11">
        <v>200</v>
      </c>
      <c r="AT28" s="34"/>
      <c r="AU28" s="13">
        <f t="shared" si="8"/>
        <v>24.464999999999996</v>
      </c>
      <c r="AV28" s="13">
        <v>1.29</v>
      </c>
      <c r="AW28" s="11">
        <v>200</v>
      </c>
      <c r="AX28" s="11"/>
      <c r="AY28" s="13">
        <f t="shared" si="9"/>
        <v>86.924999999999997</v>
      </c>
      <c r="AZ28" s="13">
        <v>4.4000000000000004</v>
      </c>
      <c r="BA28" s="11">
        <v>200</v>
      </c>
      <c r="BB28" s="11"/>
      <c r="BC28" s="13">
        <f t="shared" si="10"/>
        <v>829.3</v>
      </c>
      <c r="BD28" s="13">
        <v>36.1</v>
      </c>
      <c r="BE28" s="11">
        <v>200</v>
      </c>
      <c r="BF28" s="11"/>
      <c r="BG28" s="13">
        <f t="shared" si="21"/>
        <v>2.34</v>
      </c>
      <c r="BH28" s="13">
        <v>6.2E-2</v>
      </c>
      <c r="BI28" s="11">
        <v>1100</v>
      </c>
      <c r="BJ28" s="11"/>
      <c r="BK28" s="13">
        <f t="shared" si="11"/>
        <v>1.9019999999999997</v>
      </c>
      <c r="BL28" s="13">
        <v>5.3999999999999999E-2</v>
      </c>
      <c r="BM28" s="11">
        <v>1100</v>
      </c>
      <c r="BN28" s="11"/>
      <c r="BO28" s="13">
        <f t="shared" si="22"/>
        <v>5.84</v>
      </c>
      <c r="BP28" s="13">
        <v>0.19</v>
      </c>
      <c r="BQ28" s="11">
        <v>1100</v>
      </c>
      <c r="BR28" s="11"/>
      <c r="BS28" s="13">
        <f t="shared" si="12"/>
        <v>8.3760000000000012</v>
      </c>
      <c r="BT28" s="13">
        <v>0.28799999999999998</v>
      </c>
      <c r="BU28" s="11">
        <v>1100</v>
      </c>
      <c r="BV28" s="11"/>
      <c r="BW28" s="13">
        <f t="shared" si="13"/>
        <v>3.8039999999999994</v>
      </c>
      <c r="BX28" s="13">
        <v>0.108</v>
      </c>
      <c r="BY28" s="11">
        <v>1100</v>
      </c>
      <c r="BZ28" s="11"/>
      <c r="CA28" s="13">
        <f t="shared" si="14"/>
        <v>17.364999999999998</v>
      </c>
      <c r="CB28" s="13">
        <v>0.61</v>
      </c>
      <c r="CC28" s="11">
        <v>1100</v>
      </c>
      <c r="CD28" s="11"/>
      <c r="CE28" s="13">
        <f t="shared" si="15"/>
        <v>20.76</v>
      </c>
      <c r="CF28" s="13">
        <v>1.08</v>
      </c>
      <c r="CG28" s="23">
        <v>1100</v>
      </c>
      <c r="CH28" s="11"/>
      <c r="CI28" s="13">
        <f t="shared" si="16"/>
        <v>66.499999999999986</v>
      </c>
      <c r="CJ28" s="13">
        <v>3.8</v>
      </c>
      <c r="CK28" s="23">
        <v>1100</v>
      </c>
      <c r="CL28" s="11"/>
      <c r="CM28" s="13">
        <f t="shared" si="17"/>
        <v>78.5</v>
      </c>
      <c r="CN28" s="13">
        <v>4.3499999999999996</v>
      </c>
      <c r="CO28" s="23">
        <v>1100</v>
      </c>
      <c r="CP28" s="11"/>
      <c r="CQ28" s="13">
        <f t="shared" si="18"/>
        <v>85.65</v>
      </c>
      <c r="CR28" s="13">
        <v>5.05</v>
      </c>
      <c r="CS28" s="23">
        <v>1100</v>
      </c>
      <c r="CT28" s="11"/>
      <c r="CU28" s="34">
        <v>1810</v>
      </c>
      <c r="CV28" s="34">
        <v>75</v>
      </c>
      <c r="CW28" s="11">
        <v>200</v>
      </c>
      <c r="CX28" s="34"/>
      <c r="CY28" s="34">
        <v>3813</v>
      </c>
      <c r="CZ28" s="34">
        <v>158</v>
      </c>
      <c r="DA28" s="11">
        <v>200</v>
      </c>
      <c r="DB28" s="34"/>
      <c r="DC28" s="34"/>
      <c r="DD28" s="50"/>
      <c r="DE28" s="50"/>
      <c r="DF28" s="50"/>
      <c r="DG28" s="50"/>
      <c r="DH28" s="50"/>
    </row>
    <row r="29" spans="1:112" ht="12.5" customHeight="1" x14ac:dyDescent="0.35">
      <c r="A29" s="2"/>
      <c r="B29" s="77" t="s">
        <v>10</v>
      </c>
      <c r="C29" s="33"/>
      <c r="D29" s="32" t="str">
        <f>IF(CD5&gt;=0,CD9,"")</f>
        <v/>
      </c>
      <c r="E29" s="20" t="str">
        <f>IF(CD5=1,"Feil i resultat?",IF(CD9=CD10,"","Inkonsistent."))</f>
        <v/>
      </c>
      <c r="F29" s="3">
        <f t="shared" si="23"/>
        <v>0</v>
      </c>
      <c r="G29" s="35">
        <v>9.3330000000000002</v>
      </c>
      <c r="H29" s="35">
        <f t="shared" si="19"/>
        <v>0.22199999999999953</v>
      </c>
      <c r="I29" s="11">
        <v>150</v>
      </c>
      <c r="J29" s="34"/>
      <c r="K29" s="13">
        <f t="shared" si="0"/>
        <v>14.818000000000003</v>
      </c>
      <c r="L29" s="13">
        <v>0.38</v>
      </c>
      <c r="M29" s="11">
        <v>150</v>
      </c>
      <c r="N29" s="11"/>
      <c r="O29" s="13">
        <f t="shared" si="1"/>
        <v>31.286999999999988</v>
      </c>
      <c r="P29" s="13">
        <v>0.94499999999999995</v>
      </c>
      <c r="Q29" s="11">
        <v>150</v>
      </c>
      <c r="R29" s="11"/>
      <c r="S29" s="13">
        <f t="shared" si="2"/>
        <v>71.051000000000002</v>
      </c>
      <c r="T29" s="13">
        <v>2.33</v>
      </c>
      <c r="U29" s="11">
        <v>150</v>
      </c>
      <c r="V29" s="13"/>
      <c r="W29" s="13">
        <f t="shared" si="3"/>
        <v>166.12000000000006</v>
      </c>
      <c r="X29" s="13">
        <v>5.77</v>
      </c>
      <c r="Y29" s="11">
        <v>150</v>
      </c>
      <c r="Z29" s="13"/>
      <c r="AA29" s="13">
        <f t="shared" si="4"/>
        <v>344.95</v>
      </c>
      <c r="AB29" s="13">
        <v>12.38</v>
      </c>
      <c r="AC29" s="11">
        <v>150</v>
      </c>
      <c r="AD29" s="13"/>
      <c r="AE29" s="13">
        <f t="shared" si="5"/>
        <v>753.2299999999999</v>
      </c>
      <c r="AF29" s="13">
        <v>28.6</v>
      </c>
      <c r="AG29" s="11">
        <v>150</v>
      </c>
      <c r="AH29" s="11"/>
      <c r="AI29" s="13">
        <f t="shared" si="6"/>
        <v>1321.2999999999997</v>
      </c>
      <c r="AJ29" s="13">
        <v>51.6</v>
      </c>
      <c r="AK29" s="11">
        <v>150</v>
      </c>
      <c r="AL29" s="11"/>
      <c r="AM29" s="13">
        <f t="shared" si="7"/>
        <v>2843.7000000000003</v>
      </c>
      <c r="AN29" s="13">
        <v>123</v>
      </c>
      <c r="AO29" s="11">
        <v>150</v>
      </c>
      <c r="AP29" s="11"/>
      <c r="AQ29" s="35">
        <v>12.792</v>
      </c>
      <c r="AR29" s="35">
        <f t="shared" si="20"/>
        <v>0.41499999999999915</v>
      </c>
      <c r="AS29" s="11">
        <v>150</v>
      </c>
      <c r="AT29" s="34"/>
      <c r="AU29" s="13">
        <f t="shared" si="8"/>
        <v>25.929999999999996</v>
      </c>
      <c r="AV29" s="13">
        <v>1.4650000000000001</v>
      </c>
      <c r="AW29" s="11">
        <v>150</v>
      </c>
      <c r="AX29" s="11"/>
      <c r="AY29" s="13">
        <f t="shared" si="9"/>
        <v>91.575000000000003</v>
      </c>
      <c r="AZ29" s="13">
        <v>4.6500000000000004</v>
      </c>
      <c r="BA29" s="11">
        <v>150</v>
      </c>
      <c r="BB29" s="11"/>
      <c r="BC29" s="13">
        <f t="shared" si="10"/>
        <v>869.69999999999993</v>
      </c>
      <c r="BD29" s="13">
        <v>40.4</v>
      </c>
      <c r="BE29" s="11">
        <v>150</v>
      </c>
      <c r="BF29" s="11"/>
      <c r="BG29" s="13">
        <f t="shared" si="21"/>
        <v>2.4019999999999997</v>
      </c>
      <c r="BH29" s="13">
        <v>6.4000000000000001E-2</v>
      </c>
      <c r="BI29" s="11">
        <v>1150</v>
      </c>
      <c r="BJ29" s="11"/>
      <c r="BK29" s="13">
        <f t="shared" si="11"/>
        <v>1.9559999999999997</v>
      </c>
      <c r="BL29" s="13">
        <v>5.6000000000000001E-2</v>
      </c>
      <c r="BM29" s="11">
        <v>1150</v>
      </c>
      <c r="BN29" s="11"/>
      <c r="BO29" s="13">
        <f t="shared" si="22"/>
        <v>6.03</v>
      </c>
      <c r="BP29" s="13">
        <v>0.19</v>
      </c>
      <c r="BQ29" s="11">
        <v>1150</v>
      </c>
      <c r="BR29" s="11"/>
      <c r="BS29" s="13">
        <f t="shared" si="12"/>
        <v>8.6640000000000015</v>
      </c>
      <c r="BT29" s="13">
        <v>0.30399999999999999</v>
      </c>
      <c r="BU29" s="11">
        <v>1150</v>
      </c>
      <c r="BV29" s="11"/>
      <c r="BW29" s="13">
        <f t="shared" si="13"/>
        <v>3.9119999999999995</v>
      </c>
      <c r="BX29" s="13">
        <v>0.112</v>
      </c>
      <c r="BY29" s="11">
        <v>1150</v>
      </c>
      <c r="BZ29" s="11"/>
      <c r="CA29" s="13">
        <f t="shared" si="14"/>
        <v>17.974999999999998</v>
      </c>
      <c r="CB29" s="13">
        <v>0.64</v>
      </c>
      <c r="CC29" s="11">
        <v>1150</v>
      </c>
      <c r="CD29" s="11"/>
      <c r="CE29" s="13">
        <f t="shared" si="15"/>
        <v>21.840000000000003</v>
      </c>
      <c r="CF29" s="13">
        <v>1.1000000000000001</v>
      </c>
      <c r="CG29" s="23">
        <v>1150</v>
      </c>
      <c r="CH29" s="11"/>
      <c r="CI29" s="13">
        <f t="shared" si="16"/>
        <v>70.299999999999983</v>
      </c>
      <c r="CJ29" s="13">
        <v>3.85</v>
      </c>
      <c r="CK29" s="23">
        <v>1150</v>
      </c>
      <c r="CL29" s="11"/>
      <c r="CM29" s="13">
        <f t="shared" si="17"/>
        <v>82.85</v>
      </c>
      <c r="CN29" s="13">
        <v>4.4000000000000004</v>
      </c>
      <c r="CO29" s="23">
        <v>1150</v>
      </c>
      <c r="CP29" s="11"/>
      <c r="CQ29" s="13">
        <f t="shared" si="18"/>
        <v>90.7</v>
      </c>
      <c r="CR29" s="13">
        <v>5.3</v>
      </c>
      <c r="CS29" s="23">
        <v>1150</v>
      </c>
      <c r="CT29" s="11"/>
      <c r="CU29" s="34">
        <v>1894</v>
      </c>
      <c r="CV29" s="34">
        <v>84</v>
      </c>
      <c r="CW29" s="11">
        <v>150</v>
      </c>
      <c r="CX29" s="34"/>
      <c r="CY29" s="34">
        <v>3990</v>
      </c>
      <c r="CZ29" s="34">
        <v>177</v>
      </c>
      <c r="DA29" s="11">
        <v>150</v>
      </c>
      <c r="DB29" s="34"/>
      <c r="DC29" s="34"/>
      <c r="DD29" s="50"/>
      <c r="DE29" s="50"/>
      <c r="DF29" s="50"/>
      <c r="DG29" s="50"/>
      <c r="DH29" s="50"/>
    </row>
    <row r="30" spans="1:112" ht="12.5" customHeight="1" x14ac:dyDescent="0.35">
      <c r="A30" s="2"/>
      <c r="B30" s="78"/>
      <c r="C30" s="30"/>
      <c r="D30" s="31"/>
      <c r="E30" s="20"/>
      <c r="F30" s="3"/>
      <c r="G30" s="35">
        <v>9.5690000000000008</v>
      </c>
      <c r="H30" s="35">
        <f t="shared" si="19"/>
        <v>0.23600000000000065</v>
      </c>
      <c r="I30" s="11">
        <v>100</v>
      </c>
      <c r="J30" s="34"/>
      <c r="K30" s="13">
        <f t="shared" si="0"/>
        <v>15.218000000000004</v>
      </c>
      <c r="L30" s="13">
        <v>0.4</v>
      </c>
      <c r="M30" s="11">
        <v>100</v>
      </c>
      <c r="N30" s="11"/>
      <c r="O30" s="13">
        <f t="shared" si="1"/>
        <v>32.279999999999987</v>
      </c>
      <c r="P30" s="13">
        <v>0.99299999999999999</v>
      </c>
      <c r="Q30" s="11">
        <v>100</v>
      </c>
      <c r="R30" s="11"/>
      <c r="S30" s="13">
        <f t="shared" si="2"/>
        <v>73.441000000000003</v>
      </c>
      <c r="T30" s="13">
        <v>2.39</v>
      </c>
      <c r="U30" s="11">
        <v>100</v>
      </c>
      <c r="V30" s="13"/>
      <c r="W30" s="13">
        <f t="shared" si="3"/>
        <v>172.12000000000006</v>
      </c>
      <c r="X30" s="13">
        <v>6</v>
      </c>
      <c r="Y30" s="11">
        <v>100</v>
      </c>
      <c r="Z30" s="13"/>
      <c r="AA30" s="13">
        <f t="shared" si="4"/>
        <v>358.31</v>
      </c>
      <c r="AB30" s="13">
        <v>13.36</v>
      </c>
      <c r="AC30" s="11">
        <v>100</v>
      </c>
      <c r="AD30" s="13"/>
      <c r="AE30" s="13">
        <f t="shared" si="5"/>
        <v>784.82999999999993</v>
      </c>
      <c r="AF30" s="13">
        <v>31.6</v>
      </c>
      <c r="AG30" s="11">
        <v>100</v>
      </c>
      <c r="AH30" s="11"/>
      <c r="AI30" s="13">
        <f t="shared" si="6"/>
        <v>1378.4999999999998</v>
      </c>
      <c r="AJ30" s="13">
        <v>57.2</v>
      </c>
      <c r="AK30" s="11">
        <v>100</v>
      </c>
      <c r="AL30" s="11"/>
      <c r="AM30" s="13">
        <f t="shared" si="7"/>
        <v>2982.7000000000003</v>
      </c>
      <c r="AN30" s="13">
        <v>139</v>
      </c>
      <c r="AO30" s="11">
        <v>100</v>
      </c>
      <c r="AP30" s="11"/>
      <c r="AQ30" s="35">
        <v>13.222</v>
      </c>
      <c r="AR30" s="35">
        <f t="shared" si="20"/>
        <v>0.42999999999999972</v>
      </c>
      <c r="AS30" s="11">
        <v>100</v>
      </c>
      <c r="AT30" s="34"/>
      <c r="AU30" s="13">
        <f t="shared" si="8"/>
        <v>27.604999999999997</v>
      </c>
      <c r="AV30" s="13">
        <v>1.675</v>
      </c>
      <c r="AW30" s="11">
        <v>100</v>
      </c>
      <c r="AX30" s="11"/>
      <c r="AY30" s="13">
        <f t="shared" si="9"/>
        <v>96.424999999999997</v>
      </c>
      <c r="AZ30" s="13">
        <v>4.8499999999999996</v>
      </c>
      <c r="BA30" s="11">
        <v>100</v>
      </c>
      <c r="BB30" s="11"/>
      <c r="BC30" s="13">
        <f t="shared" si="10"/>
        <v>914.99999999999989</v>
      </c>
      <c r="BD30" s="13">
        <v>45.3</v>
      </c>
      <c r="BE30" s="11">
        <v>100</v>
      </c>
      <c r="BF30" s="11"/>
      <c r="BG30" s="13">
        <f t="shared" si="21"/>
        <v>2.4659999999999997</v>
      </c>
      <c r="BH30" s="13">
        <v>6.6000000000000003E-2</v>
      </c>
      <c r="BI30" s="11">
        <v>1200</v>
      </c>
      <c r="BJ30" s="11"/>
      <c r="BK30" s="13">
        <f t="shared" si="11"/>
        <v>2.0119999999999996</v>
      </c>
      <c r="BL30" s="13">
        <v>5.8000000000000003E-2</v>
      </c>
      <c r="BM30" s="11">
        <v>1200</v>
      </c>
      <c r="BN30" s="11"/>
      <c r="BO30" s="13">
        <f t="shared" si="22"/>
        <v>6.2200000000000006</v>
      </c>
      <c r="BP30" s="13">
        <v>0.19</v>
      </c>
      <c r="BQ30" s="11">
        <v>1200</v>
      </c>
      <c r="BR30" s="11"/>
      <c r="BS30" s="13">
        <f t="shared" si="12"/>
        <v>8.9680000000000017</v>
      </c>
      <c r="BT30" s="13">
        <v>0.32200000000000001</v>
      </c>
      <c r="BU30" s="11">
        <v>1200</v>
      </c>
      <c r="BV30" s="11"/>
      <c r="BW30" s="13">
        <f t="shared" si="13"/>
        <v>4.0239999999999991</v>
      </c>
      <c r="BX30" s="13">
        <v>0.11600000000000001</v>
      </c>
      <c r="BY30" s="11">
        <v>1200</v>
      </c>
      <c r="BZ30" s="11"/>
      <c r="CA30" s="13">
        <f t="shared" si="14"/>
        <v>18.614999999999998</v>
      </c>
      <c r="CB30" s="13">
        <v>0.67500000000000004</v>
      </c>
      <c r="CC30" s="11">
        <v>1200</v>
      </c>
      <c r="CD30" s="11"/>
      <c r="CE30" s="13">
        <f t="shared" si="15"/>
        <v>22.940000000000005</v>
      </c>
      <c r="CF30" s="13">
        <v>1.1200000000000001</v>
      </c>
      <c r="CG30" s="23">
        <v>1200</v>
      </c>
      <c r="CH30" s="11"/>
      <c r="CI30" s="13">
        <f t="shared" si="16"/>
        <v>74.149999999999977</v>
      </c>
      <c r="CJ30" s="13">
        <v>3.9</v>
      </c>
      <c r="CK30" s="23">
        <v>1200</v>
      </c>
      <c r="CL30" s="11"/>
      <c r="CM30" s="13">
        <f t="shared" si="17"/>
        <v>87.25</v>
      </c>
      <c r="CN30" s="13">
        <v>4.45</v>
      </c>
      <c r="CO30" s="23">
        <v>1200</v>
      </c>
      <c r="CP30" s="11"/>
      <c r="CQ30" s="13">
        <f t="shared" si="18"/>
        <v>96</v>
      </c>
      <c r="CR30" s="13">
        <v>5.45</v>
      </c>
      <c r="CS30" s="23">
        <v>1200</v>
      </c>
      <c r="CT30" s="11"/>
      <c r="CU30" s="34">
        <v>1989</v>
      </c>
      <c r="CV30" s="34">
        <v>95</v>
      </c>
      <c r="CW30" s="11">
        <v>100</v>
      </c>
      <c r="CX30" s="34"/>
      <c r="CY30" s="34">
        <v>4191</v>
      </c>
      <c r="CZ30" s="34">
        <v>201</v>
      </c>
      <c r="DA30" s="11">
        <v>100</v>
      </c>
      <c r="DB30" s="34"/>
      <c r="DC30" s="34"/>
      <c r="DD30" s="69" t="s">
        <v>67</v>
      </c>
      <c r="DE30" s="50"/>
      <c r="DF30" s="50"/>
      <c r="DG30" s="50"/>
      <c r="DH30" s="50"/>
    </row>
    <row r="31" spans="1:112" ht="12.5" customHeight="1" x14ac:dyDescent="0.35">
      <c r="A31" s="61"/>
      <c r="B31" s="44" t="s">
        <v>14</v>
      </c>
      <c r="C31" s="33"/>
      <c r="D31" s="32" t="str">
        <f>IF(CH5&gt;=0,CH9,"")</f>
        <v/>
      </c>
      <c r="E31" s="20" t="str">
        <f>IF(CH5=1,"Feil i resultat?",IF(CH9=CH10,"","Inkonsistent."))</f>
        <v/>
      </c>
      <c r="F31" s="3">
        <f>C31/100</f>
        <v>0</v>
      </c>
      <c r="G31" s="35">
        <v>9.8210000000000015</v>
      </c>
      <c r="H31" s="35">
        <f t="shared" si="19"/>
        <v>0.25200000000000067</v>
      </c>
      <c r="I31" s="11">
        <v>50</v>
      </c>
      <c r="J31" s="34"/>
      <c r="K31" s="13">
        <f t="shared" si="0"/>
        <v>15.638000000000003</v>
      </c>
      <c r="L31" s="13">
        <v>0.42</v>
      </c>
      <c r="M31" s="11">
        <v>50</v>
      </c>
      <c r="N31" s="11"/>
      <c r="O31" s="13">
        <f t="shared" si="1"/>
        <v>33.320999999999984</v>
      </c>
      <c r="P31" s="13">
        <v>1.0409999999999999</v>
      </c>
      <c r="Q31" s="11">
        <v>50</v>
      </c>
      <c r="R31" s="11"/>
      <c r="S31" s="13">
        <f t="shared" si="2"/>
        <v>75.871000000000009</v>
      </c>
      <c r="T31" s="13">
        <v>2.4300000000000002</v>
      </c>
      <c r="U31" s="11">
        <v>50</v>
      </c>
      <c r="V31" s="13"/>
      <c r="W31" s="13">
        <f t="shared" si="3"/>
        <v>178.32000000000005</v>
      </c>
      <c r="X31" s="13">
        <v>6.2</v>
      </c>
      <c r="Y31" s="11">
        <v>50</v>
      </c>
      <c r="Z31" s="13"/>
      <c r="AA31" s="13">
        <f t="shared" si="4"/>
        <v>372.79</v>
      </c>
      <c r="AB31" s="13">
        <v>14.48</v>
      </c>
      <c r="AC31" s="11">
        <v>50</v>
      </c>
      <c r="AD31" s="13"/>
      <c r="AE31" s="13">
        <f t="shared" si="5"/>
        <v>820.2299999999999</v>
      </c>
      <c r="AF31" s="13">
        <v>35.4</v>
      </c>
      <c r="AG31" s="11">
        <v>50</v>
      </c>
      <c r="AH31" s="11"/>
      <c r="AI31" s="13">
        <f t="shared" si="6"/>
        <v>1442.8999999999999</v>
      </c>
      <c r="AJ31" s="13">
        <v>64.400000000000006</v>
      </c>
      <c r="AK31" s="11">
        <v>50</v>
      </c>
      <c r="AL31" s="11"/>
      <c r="AM31" s="13">
        <f t="shared" si="7"/>
        <v>3140.7000000000003</v>
      </c>
      <c r="AN31" s="13">
        <v>158</v>
      </c>
      <c r="AO31" s="11">
        <v>50</v>
      </c>
      <c r="AP31" s="11"/>
      <c r="AQ31" s="35">
        <v>13.667</v>
      </c>
      <c r="AR31" s="35">
        <f t="shared" si="20"/>
        <v>0.44500000000000028</v>
      </c>
      <c r="AS31" s="11">
        <v>50</v>
      </c>
      <c r="AT31" s="34"/>
      <c r="AU31" s="13">
        <f t="shared" si="8"/>
        <v>29.519999999999996</v>
      </c>
      <c r="AV31" s="13">
        <v>1.915</v>
      </c>
      <c r="AW31" s="11">
        <v>50</v>
      </c>
      <c r="AX31" s="11"/>
      <c r="AY31" s="13">
        <f t="shared" si="9"/>
        <v>101.425</v>
      </c>
      <c r="AZ31" s="13">
        <v>5</v>
      </c>
      <c r="BA31" s="11">
        <v>50</v>
      </c>
      <c r="BB31" s="11"/>
      <c r="BC31" s="13">
        <f t="shared" si="10"/>
        <v>966.29999999999984</v>
      </c>
      <c r="BD31" s="13">
        <v>51.3</v>
      </c>
      <c r="BE31" s="11">
        <v>50</v>
      </c>
      <c r="BF31" s="11"/>
      <c r="BG31" s="13">
        <f t="shared" si="21"/>
        <v>2.5319999999999996</v>
      </c>
      <c r="BH31" s="13">
        <v>6.8000000000000005E-2</v>
      </c>
      <c r="BI31" s="11">
        <v>1250</v>
      </c>
      <c r="BJ31" s="11"/>
      <c r="BK31" s="13">
        <f t="shared" si="11"/>
        <v>2.0699999999999994</v>
      </c>
      <c r="BL31" s="13">
        <v>0.06</v>
      </c>
      <c r="BM31" s="11">
        <v>1250</v>
      </c>
      <c r="BN31" s="11"/>
      <c r="BO31" s="13">
        <f t="shared" si="22"/>
        <v>6.410000000000001</v>
      </c>
      <c r="BP31" s="13">
        <v>0.19</v>
      </c>
      <c r="BQ31" s="11">
        <v>1250</v>
      </c>
      <c r="BR31" s="11"/>
      <c r="BS31" s="13">
        <f t="shared" si="12"/>
        <v>9.2900000000000009</v>
      </c>
      <c r="BT31" s="13">
        <v>0.34</v>
      </c>
      <c r="BU31" s="11">
        <v>1250</v>
      </c>
      <c r="BV31" s="11"/>
      <c r="BW31" s="13">
        <f t="shared" si="13"/>
        <v>4.1399999999999988</v>
      </c>
      <c r="BX31" s="13">
        <v>0.12</v>
      </c>
      <c r="BY31" s="11">
        <v>1250</v>
      </c>
      <c r="BZ31" s="11"/>
      <c r="CA31" s="13">
        <f t="shared" si="14"/>
        <v>19.29</v>
      </c>
      <c r="CB31" s="13">
        <v>0.71</v>
      </c>
      <c r="CC31" s="11">
        <v>1250</v>
      </c>
      <c r="CD31" s="11"/>
      <c r="CE31" s="13">
        <f t="shared" si="15"/>
        <v>24.060000000000006</v>
      </c>
      <c r="CF31" s="13">
        <v>1.1399999999999999</v>
      </c>
      <c r="CG31" s="23">
        <v>1250</v>
      </c>
      <c r="CH31" s="11"/>
      <c r="CI31" s="13">
        <f t="shared" si="16"/>
        <v>78.049999999999983</v>
      </c>
      <c r="CJ31" s="13">
        <v>3.9</v>
      </c>
      <c r="CK31" s="23">
        <v>1250</v>
      </c>
      <c r="CL31" s="11"/>
      <c r="CM31" s="13">
        <f t="shared" si="17"/>
        <v>91.7</v>
      </c>
      <c r="CN31" s="13">
        <v>4.5</v>
      </c>
      <c r="CO31" s="23">
        <v>1250</v>
      </c>
      <c r="CP31" s="11"/>
      <c r="CQ31" s="13">
        <f t="shared" si="18"/>
        <v>101.45</v>
      </c>
      <c r="CR31" s="13">
        <v>5.55</v>
      </c>
      <c r="CS31" s="23">
        <v>1250</v>
      </c>
      <c r="CT31" s="11"/>
      <c r="CU31" s="34">
        <v>2098</v>
      </c>
      <c r="CV31" s="34">
        <v>109</v>
      </c>
      <c r="CW31" s="11">
        <v>50</v>
      </c>
      <c r="CX31" s="34"/>
      <c r="CY31" s="34">
        <v>4421</v>
      </c>
      <c r="CZ31" s="34">
        <v>230</v>
      </c>
      <c r="DA31" s="11">
        <v>50</v>
      </c>
      <c r="DB31" s="34"/>
      <c r="DC31" s="34"/>
      <c r="DD31" s="68" t="s">
        <v>68</v>
      </c>
      <c r="DE31" s="50"/>
      <c r="DF31" s="50"/>
      <c r="DG31" s="50"/>
      <c r="DH31" s="50"/>
    </row>
    <row r="32" spans="1:112" ht="12.5" customHeight="1" x14ac:dyDescent="0.35">
      <c r="B32" s="45" t="s">
        <v>15</v>
      </c>
      <c r="C32" s="33"/>
      <c r="D32" s="32" t="str">
        <f>IF(CL5&gt;=0,CL9,"")</f>
        <v/>
      </c>
      <c r="E32" s="20" t="str">
        <f>IF(CL5=1,"Feil i resultat?",IF(CL9=CL10,"","Inkonsistent."))</f>
        <v/>
      </c>
      <c r="F32" s="3">
        <f t="shared" ref="F32:F34" si="24">C32/100</f>
        <v>0</v>
      </c>
      <c r="G32" s="35">
        <v>10.091000000000001</v>
      </c>
      <c r="H32" s="35">
        <f t="shared" si="19"/>
        <v>0.26999999999999957</v>
      </c>
      <c r="I32" s="11">
        <v>0</v>
      </c>
      <c r="K32" s="13">
        <f t="shared" si="0"/>
        <v>16.078000000000003</v>
      </c>
      <c r="L32" s="13">
        <v>0.44</v>
      </c>
      <c r="M32" s="11">
        <v>0</v>
      </c>
      <c r="N32" s="11"/>
      <c r="O32" s="13">
        <f t="shared" si="1"/>
        <v>34.409999999999982</v>
      </c>
      <c r="P32" s="13">
        <v>1.089</v>
      </c>
      <c r="Q32" s="11">
        <v>0</v>
      </c>
      <c r="R32" s="11"/>
      <c r="S32" s="13">
        <f t="shared" si="2"/>
        <v>78.321000000000012</v>
      </c>
      <c r="T32" s="13">
        <v>2.4500000000000002</v>
      </c>
      <c r="U32" s="11">
        <v>0</v>
      </c>
      <c r="V32" s="13"/>
      <c r="W32" s="13">
        <f t="shared" si="3"/>
        <v>184.67000000000004</v>
      </c>
      <c r="X32" s="7">
        <v>6.35</v>
      </c>
      <c r="Y32" s="11">
        <v>0</v>
      </c>
      <c r="Z32" s="13"/>
      <c r="AA32" s="13">
        <f t="shared" si="4"/>
        <v>388.57</v>
      </c>
      <c r="AB32" s="7">
        <v>15.78</v>
      </c>
      <c r="AC32" s="11">
        <v>0</v>
      </c>
      <c r="AD32" s="13"/>
      <c r="AE32" s="13">
        <f t="shared" si="5"/>
        <v>860.2299999999999</v>
      </c>
      <c r="AF32" s="7">
        <v>40</v>
      </c>
      <c r="AG32" s="11">
        <v>0</v>
      </c>
      <c r="AH32" s="11"/>
      <c r="AI32" s="13">
        <f t="shared" si="6"/>
        <v>1516.3</v>
      </c>
      <c r="AJ32" s="7">
        <v>73.400000000000006</v>
      </c>
      <c r="AK32" s="11">
        <v>0</v>
      </c>
      <c r="AL32" s="11"/>
      <c r="AM32" s="13">
        <f t="shared" si="7"/>
        <v>3320.7000000000003</v>
      </c>
      <c r="AN32" s="7">
        <v>180</v>
      </c>
      <c r="AO32" s="11">
        <v>0</v>
      </c>
      <c r="AP32" s="11"/>
      <c r="AQ32" s="35">
        <v>14.127000000000001</v>
      </c>
      <c r="AR32" s="35">
        <f t="shared" si="20"/>
        <v>0.46000000000000085</v>
      </c>
      <c r="AS32" s="11">
        <v>0</v>
      </c>
      <c r="AU32" s="7">
        <f t="shared" si="8"/>
        <v>31.714999999999996</v>
      </c>
      <c r="AV32" s="7">
        <v>2.1949999999999998</v>
      </c>
      <c r="AW32" s="11">
        <v>0</v>
      </c>
      <c r="AX32" s="11"/>
      <c r="AY32" s="7">
        <f t="shared" si="9"/>
        <v>106.52499999999999</v>
      </c>
      <c r="AZ32" s="7">
        <v>5.0999999999999996</v>
      </c>
      <c r="BA32" s="11">
        <v>0</v>
      </c>
      <c r="BB32" s="11"/>
      <c r="BC32" s="7">
        <f t="shared" si="10"/>
        <v>1024.5999999999999</v>
      </c>
      <c r="BD32" s="7">
        <v>58.3</v>
      </c>
      <c r="BE32" s="11">
        <v>0</v>
      </c>
      <c r="BF32" s="11"/>
      <c r="BG32" s="7">
        <f t="shared" si="21"/>
        <v>2.5999999999999996</v>
      </c>
      <c r="BH32" s="7">
        <v>7.0000000000000007E-2</v>
      </c>
      <c r="BI32" s="11">
        <v>1300</v>
      </c>
      <c r="BJ32" s="11"/>
      <c r="BK32" s="7">
        <f t="shared" si="11"/>
        <v>2.1299999999999994</v>
      </c>
      <c r="BL32" s="7">
        <v>6.2E-2</v>
      </c>
      <c r="BM32" s="11">
        <v>1300</v>
      </c>
      <c r="BN32" s="11"/>
      <c r="BO32" s="7">
        <f t="shared" si="22"/>
        <v>6.6000000000000014</v>
      </c>
      <c r="BP32" s="7">
        <v>0.19</v>
      </c>
      <c r="BQ32" s="11">
        <v>1300</v>
      </c>
      <c r="BR32" s="11"/>
      <c r="BS32" s="7">
        <f t="shared" si="12"/>
        <v>9.6300000000000008</v>
      </c>
      <c r="BT32" s="7">
        <v>0.36</v>
      </c>
      <c r="BU32" s="11">
        <v>1300</v>
      </c>
      <c r="BV32" s="11"/>
      <c r="BW32" s="7">
        <f t="shared" si="13"/>
        <v>4.2599999999999989</v>
      </c>
      <c r="BX32" s="7">
        <v>0.124</v>
      </c>
      <c r="BY32" s="11">
        <v>1300</v>
      </c>
      <c r="BZ32" s="11"/>
      <c r="CA32" s="7">
        <f t="shared" si="14"/>
        <v>20</v>
      </c>
      <c r="CB32" s="7">
        <v>0.76</v>
      </c>
      <c r="CC32" s="11">
        <v>1300</v>
      </c>
      <c r="CD32" s="11"/>
      <c r="CE32" s="7">
        <f t="shared" si="15"/>
        <v>25.200000000000006</v>
      </c>
      <c r="CF32" s="7">
        <v>1.1599999999999999</v>
      </c>
      <c r="CG32" s="9">
        <v>1300</v>
      </c>
      <c r="CH32" s="11"/>
      <c r="CI32" s="7">
        <f t="shared" si="16"/>
        <v>81.949999999999989</v>
      </c>
      <c r="CJ32" s="7">
        <v>3.9</v>
      </c>
      <c r="CK32" s="9">
        <v>1300</v>
      </c>
      <c r="CL32" s="11"/>
      <c r="CM32" s="7">
        <f t="shared" si="17"/>
        <v>96.2</v>
      </c>
      <c r="CN32" s="7">
        <v>4.5</v>
      </c>
      <c r="CO32" s="9">
        <v>1300</v>
      </c>
      <c r="CP32" s="11"/>
      <c r="CQ32" s="7">
        <f t="shared" si="18"/>
        <v>107</v>
      </c>
      <c r="CR32" s="7">
        <v>5.6</v>
      </c>
      <c r="CS32" s="9">
        <v>1300</v>
      </c>
      <c r="CT32" s="11"/>
      <c r="CU32" s="34">
        <v>2223</v>
      </c>
      <c r="CV32" s="34">
        <v>125</v>
      </c>
      <c r="CW32" s="11">
        <v>0</v>
      </c>
      <c r="CX32" s="34"/>
      <c r="CY32" s="34">
        <v>4685</v>
      </c>
      <c r="CZ32" s="34">
        <v>264</v>
      </c>
      <c r="DA32" s="11">
        <v>0</v>
      </c>
      <c r="DC32" s="34"/>
      <c r="DD32" s="68" t="s">
        <v>69</v>
      </c>
      <c r="DE32" s="50"/>
      <c r="DF32" s="50"/>
      <c r="DG32" s="50"/>
      <c r="DH32" s="50"/>
    </row>
    <row r="33" spans="1:112" ht="12.5" customHeight="1" x14ac:dyDescent="0.35">
      <c r="B33" s="45" t="s">
        <v>16</v>
      </c>
      <c r="C33" s="33"/>
      <c r="D33" s="32" t="str">
        <f>IF(CP5&gt;=0,CP9,"")</f>
        <v/>
      </c>
      <c r="E33" s="20" t="str">
        <f>IF(CP5=1,"Feil i resultat?",IF(CP9=CP10,"","Inkonsistent."))</f>
        <v/>
      </c>
      <c r="F33" s="3">
        <f t="shared" si="24"/>
        <v>0</v>
      </c>
      <c r="H33" s="34"/>
      <c r="I33" s="34"/>
      <c r="K33" s="11"/>
      <c r="L33" s="13"/>
      <c r="M33" s="11"/>
      <c r="N33" s="11"/>
      <c r="O33" s="13"/>
      <c r="P33" s="13"/>
      <c r="Q33" s="11"/>
      <c r="R33" s="11"/>
      <c r="S33" s="11"/>
      <c r="T33" s="13"/>
      <c r="U33" s="11"/>
      <c r="V33" s="13"/>
      <c r="W33" s="11"/>
      <c r="X33" s="13"/>
      <c r="Y33" s="11"/>
      <c r="Z33" s="13"/>
      <c r="AA33" s="8"/>
      <c r="AB33" s="13"/>
      <c r="AC33" s="11"/>
      <c r="AD33" s="13"/>
      <c r="AE33"/>
      <c r="AF33" s="13"/>
      <c r="AG33" s="11"/>
      <c r="AH33" s="11"/>
      <c r="AI33" s="6"/>
      <c r="AJ33" s="13"/>
      <c r="AK33" s="11"/>
      <c r="AL33" s="11"/>
      <c r="AM33"/>
      <c r="AN33" s="13"/>
      <c r="AO33" s="11"/>
      <c r="AP33" s="11"/>
      <c r="AQ33" s="7"/>
      <c r="AR33" s="7"/>
      <c r="AS33" s="11"/>
      <c r="AT33" s="11"/>
      <c r="AU33" s="7"/>
      <c r="AV33" s="7"/>
      <c r="AW33" s="11"/>
      <c r="AX33" s="11"/>
      <c r="AY33" s="6"/>
      <c r="AZ33" s="7"/>
      <c r="BA33" s="11"/>
      <c r="BB33" s="11"/>
      <c r="BC33" s="6"/>
      <c r="BD33" s="5"/>
      <c r="BE33" s="4"/>
      <c r="BF33" s="11"/>
      <c r="BG33" s="7"/>
      <c r="BH33" s="5"/>
      <c r="BI33" s="14"/>
      <c r="BJ33" s="14"/>
      <c r="BK33" s="7"/>
      <c r="BL33" s="7"/>
      <c r="BM33" s="14"/>
      <c r="BN33" s="14"/>
      <c r="BO33" s="7"/>
      <c r="BP33" s="7"/>
      <c r="BQ33" s="14"/>
      <c r="BR33" s="14"/>
      <c r="BS33" s="7"/>
      <c r="BT33" s="7"/>
      <c r="BU33" s="14"/>
      <c r="BV33" s="14"/>
      <c r="BW33" s="7"/>
      <c r="BX33" s="7"/>
      <c r="BY33" s="14"/>
      <c r="BZ33" s="14"/>
      <c r="CA33" s="7"/>
      <c r="CB33" s="7"/>
      <c r="CC33" s="9"/>
      <c r="CD33" s="14"/>
      <c r="CE33" s="7"/>
      <c r="CF33" s="7"/>
      <c r="CG33" s="9"/>
      <c r="CH33" s="14"/>
      <c r="CI33" s="7"/>
      <c r="CJ33" s="7"/>
      <c r="CK33" s="9"/>
      <c r="CL33" s="14"/>
      <c r="CM33" s="7"/>
      <c r="CN33" s="7"/>
      <c r="CO33" s="9"/>
      <c r="CP33" s="14"/>
      <c r="DC33" s="34"/>
      <c r="DD33" s="68" t="s">
        <v>70</v>
      </c>
      <c r="DE33" s="50"/>
      <c r="DF33" s="50"/>
      <c r="DG33" s="50"/>
      <c r="DH33" s="50"/>
    </row>
    <row r="34" spans="1:112" ht="12.5" customHeight="1" x14ac:dyDescent="0.35">
      <c r="B34" s="77" t="s">
        <v>13</v>
      </c>
      <c r="C34" s="33"/>
      <c r="D34" s="32" t="str">
        <f>IF(CT5&gt;=0,CT9,"")</f>
        <v/>
      </c>
      <c r="E34" s="42" t="str">
        <f>IF(CT5=1,"Feil i resultat?",IF(CT9=CT10,"","Inkonsistent."))</f>
        <v/>
      </c>
      <c r="F34" s="3">
        <f t="shared" si="24"/>
        <v>0</v>
      </c>
      <c r="K34" s="11"/>
      <c r="L34" s="11"/>
      <c r="M34" s="11"/>
      <c r="N34" s="11"/>
      <c r="O34" s="13"/>
      <c r="P34" s="13"/>
      <c r="Q34" s="11"/>
      <c r="R34" s="11"/>
      <c r="S34" s="11"/>
      <c r="T34" s="11"/>
      <c r="U34" s="26"/>
      <c r="V34" s="27"/>
      <c r="W34" s="11"/>
      <c r="X34" s="27"/>
      <c r="Y34" s="11"/>
      <c r="Z34" s="27"/>
      <c r="AA34"/>
      <c r="AB34" s="8"/>
      <c r="AC34" s="11"/>
      <c r="AD34" s="27"/>
      <c r="AE34"/>
      <c r="AF34" s="8"/>
      <c r="AG34" s="11"/>
      <c r="AH34" s="11"/>
      <c r="AI34" s="6"/>
      <c r="AJ34" s="8"/>
      <c r="AK34" s="11"/>
      <c r="AL34" s="11"/>
      <c r="AM34"/>
      <c r="AN34" s="8"/>
      <c r="AO34" s="11"/>
      <c r="AP34" s="11"/>
      <c r="AQ34" s="6"/>
      <c r="AR34" s="7"/>
      <c r="AS34" s="11"/>
      <c r="AT34" s="11"/>
      <c r="AU34" s="6"/>
      <c r="AV34" s="6"/>
      <c r="AW34" s="11"/>
      <c r="AX34" s="11"/>
      <c r="AY34" s="6"/>
      <c r="AZ34" s="7"/>
      <c r="BA34" s="11"/>
      <c r="BB34" s="11"/>
      <c r="BC34" s="6"/>
      <c r="BD34" s="13"/>
      <c r="BE34" s="11"/>
      <c r="BF34" s="11"/>
      <c r="BG34" s="7"/>
      <c r="BH34" s="13"/>
      <c r="BI34" s="11"/>
      <c r="BJ34" s="11"/>
      <c r="BK34" s="7"/>
      <c r="BL34" s="7"/>
      <c r="BM34" s="11"/>
      <c r="BN34" s="11"/>
      <c r="BO34" s="7"/>
      <c r="BP34" s="7"/>
      <c r="BQ34" s="11"/>
      <c r="BR34" s="11"/>
      <c r="BS34" s="7"/>
      <c r="BT34" s="7"/>
      <c r="BU34" s="11"/>
      <c r="BV34" s="11"/>
      <c r="BW34" s="7"/>
      <c r="BX34" s="7"/>
      <c r="BY34" s="11"/>
      <c r="BZ34" s="11"/>
      <c r="CA34" s="7"/>
      <c r="CB34" s="7"/>
      <c r="CC34" s="9"/>
      <c r="CD34" s="11"/>
      <c r="CE34" s="7"/>
      <c r="CF34" s="7"/>
      <c r="CG34" s="9"/>
      <c r="CH34" s="11"/>
      <c r="CI34" s="7"/>
      <c r="CJ34" s="7"/>
      <c r="CK34" s="9"/>
      <c r="CL34" s="11"/>
      <c r="CM34" s="7"/>
      <c r="CN34" s="7"/>
      <c r="CO34" s="9"/>
      <c r="CP34" s="11"/>
      <c r="DC34" s="34"/>
      <c r="DD34" s="68" t="s">
        <v>71</v>
      </c>
      <c r="DE34" s="50"/>
      <c r="DF34" s="50"/>
      <c r="DG34" s="50"/>
      <c r="DH34" s="50"/>
    </row>
    <row r="35" spans="1:112" ht="12.5" customHeight="1" x14ac:dyDescent="0.35">
      <c r="B35" s="79"/>
      <c r="C35" s="30"/>
      <c r="D35" s="31"/>
      <c r="E35" s="20"/>
      <c r="F35" s="3"/>
      <c r="H35" s="2"/>
      <c r="I35" s="2"/>
      <c r="J35" s="2"/>
      <c r="K35" s="2"/>
      <c r="L35" s="2"/>
      <c r="M35" s="2"/>
      <c r="N35" s="2"/>
      <c r="O35" s="2"/>
      <c r="T35" s="2"/>
      <c r="U35" s="2"/>
      <c r="V35" s="2"/>
      <c r="W35" s="2"/>
      <c r="X35" s="2"/>
      <c r="AT35" s="11"/>
    </row>
    <row r="36" spans="1:112" ht="12.5" customHeight="1" x14ac:dyDescent="0.35">
      <c r="B36" s="63" t="s">
        <v>51</v>
      </c>
      <c r="C36" s="29"/>
      <c r="D36" s="32" t="str">
        <f>IF(CX5&gt;=0,CX9,"")</f>
        <v/>
      </c>
      <c r="E36" s="20" t="str">
        <f>IF(CX5=1,"Feil i resultat?",IF(CX9=CX10,"","Inkonsistent."))</f>
        <v/>
      </c>
      <c r="F36" s="3">
        <f>INT(C36/10000)*60+(C36-INT(C36/10000)*10000)/100</f>
        <v>0</v>
      </c>
      <c r="K36" s="2"/>
      <c r="L36" s="2"/>
      <c r="M36" s="2"/>
      <c r="N36" s="2"/>
      <c r="O36" s="2"/>
      <c r="T36" s="2"/>
      <c r="U36" s="2"/>
      <c r="V36" s="2"/>
      <c r="W36" s="2"/>
      <c r="X36" s="2"/>
      <c r="AT36" s="11"/>
    </row>
    <row r="37" spans="1:112" ht="12.5" customHeight="1" thickBot="1" x14ac:dyDescent="0.4">
      <c r="B37" s="45" t="s">
        <v>52</v>
      </c>
      <c r="C37" s="46"/>
      <c r="D37" s="32" t="str">
        <f>IF(DB5&gt;=0,DB9,"")</f>
        <v/>
      </c>
      <c r="E37" s="20" t="str">
        <f>IF(DB5=1,"Feil i resultat?",IF(DB9=DB10,"","Inkonsistent."))</f>
        <v/>
      </c>
      <c r="F37" s="21">
        <f>INT(C37/100000)*60*60+INT(INT(C37-INT(C37/100000)*100000)/1000)*60+(C37-INT(C37/1000)*1000)/10</f>
        <v>0</v>
      </c>
      <c r="K37" s="2"/>
      <c r="L37" s="2"/>
      <c r="M37" s="2"/>
      <c r="N37" s="2"/>
      <c r="O37" s="2"/>
      <c r="T37" s="2"/>
      <c r="U37" s="2"/>
      <c r="V37" s="2"/>
      <c r="W37" s="2"/>
      <c r="X37" s="2"/>
      <c r="AT37" s="11"/>
    </row>
    <row r="38" spans="1:112" x14ac:dyDescent="0.35">
      <c r="A38" s="2"/>
      <c r="B38" s="43"/>
      <c r="C38" s="43"/>
      <c r="D38" s="43"/>
      <c r="E38" s="43"/>
      <c r="F38" s="62">
        <v>9.9999999999999994E-12</v>
      </c>
      <c r="K38" s="2"/>
      <c r="L38" s="2"/>
      <c r="M38" s="2"/>
      <c r="N38" s="2"/>
      <c r="O38" s="2"/>
      <c r="T38" s="2"/>
      <c r="U38" s="2"/>
      <c r="V38" s="2"/>
      <c r="W38" s="2"/>
      <c r="X38" s="2"/>
      <c r="AT38" s="11"/>
    </row>
    <row r="39" spans="1:112" x14ac:dyDescent="0.35">
      <c r="K39" s="2"/>
      <c r="L39" s="2"/>
      <c r="M39" s="2"/>
      <c r="N39" s="2"/>
      <c r="O39" s="2"/>
      <c r="T39" s="2"/>
      <c r="U39" s="2"/>
      <c r="V39" s="2"/>
      <c r="W39" s="2"/>
      <c r="X39" s="2"/>
      <c r="AT39" s="11"/>
    </row>
    <row r="40" spans="1:112" x14ac:dyDescent="0.35">
      <c r="K40" s="2"/>
      <c r="L40" s="2"/>
      <c r="M40" s="2"/>
      <c r="N40" s="2"/>
      <c r="O40" s="2"/>
      <c r="T40" s="2"/>
      <c r="U40" s="2"/>
      <c r="V40" s="2"/>
      <c r="W40" s="2"/>
      <c r="X40" s="2"/>
      <c r="AT40" s="11"/>
    </row>
    <row r="41" spans="1:112" x14ac:dyDescent="0.35">
      <c r="K41" s="2"/>
      <c r="L41" s="2"/>
      <c r="M41" s="2"/>
      <c r="N41" s="2"/>
      <c r="O41" s="2"/>
      <c r="T41" s="2"/>
      <c r="U41" s="2"/>
      <c r="V41" s="2"/>
      <c r="W41" s="2"/>
      <c r="X41" s="2"/>
      <c r="AT41" s="11"/>
    </row>
    <row r="42" spans="1:112" x14ac:dyDescent="0.35">
      <c r="F42" s="2"/>
      <c r="K42" s="2"/>
      <c r="L42" s="2"/>
      <c r="M42" s="2"/>
      <c r="N42" s="2"/>
      <c r="O42" s="2"/>
      <c r="T42" s="2"/>
      <c r="U42" s="2"/>
      <c r="V42" s="2"/>
      <c r="W42" s="2"/>
      <c r="X42" s="2"/>
      <c r="AT42" s="11"/>
    </row>
    <row r="43" spans="1:112" x14ac:dyDescent="0.35">
      <c r="B43" s="2"/>
      <c r="F43" s="2"/>
      <c r="K43" s="2"/>
      <c r="L43" s="2"/>
      <c r="M43" s="2"/>
      <c r="N43" s="2"/>
      <c r="O43" s="2"/>
      <c r="T43" s="2"/>
      <c r="U43" s="2"/>
      <c r="V43" s="2"/>
      <c r="W43" s="2"/>
      <c r="X43" s="2"/>
      <c r="AT43" s="11"/>
    </row>
    <row r="44" spans="1:112" x14ac:dyDescent="0.35">
      <c r="F44" s="2"/>
      <c r="K44" s="2"/>
      <c r="L44" s="2"/>
      <c r="M44" s="2"/>
      <c r="N44" s="2"/>
      <c r="O44" s="2"/>
      <c r="T44" s="2"/>
      <c r="U44" s="2"/>
      <c r="V44" s="2"/>
      <c r="W44" s="2"/>
      <c r="X44" s="2"/>
      <c r="AT44" s="11"/>
    </row>
    <row r="45" spans="1:112" x14ac:dyDescent="0.35">
      <c r="F45" s="2"/>
      <c r="K45" s="2"/>
      <c r="L45" s="2"/>
      <c r="M45" s="2"/>
      <c r="N45" s="2"/>
      <c r="O45" s="2"/>
      <c r="T45" s="2"/>
      <c r="U45" s="2"/>
      <c r="V45" s="2"/>
      <c r="W45" s="2"/>
      <c r="X45" s="2"/>
      <c r="AT45" s="11"/>
    </row>
    <row r="46" spans="1:112" x14ac:dyDescent="0.35">
      <c r="F46" s="2"/>
      <c r="K46" s="2"/>
      <c r="L46" s="2"/>
      <c r="M46" s="2"/>
      <c r="N46" s="2"/>
      <c r="O46" s="2"/>
      <c r="T46" s="2"/>
      <c r="U46" s="2"/>
      <c r="V46" s="2"/>
      <c r="W46" s="2"/>
      <c r="X46" s="2"/>
      <c r="AT46" s="11"/>
    </row>
    <row r="47" spans="1:112" x14ac:dyDescent="0.35">
      <c r="F47" s="2"/>
      <c r="T47" s="2"/>
      <c r="U47" s="2"/>
      <c r="V47" s="2"/>
      <c r="W47" s="2"/>
      <c r="X47" s="2"/>
      <c r="AT47" s="11"/>
    </row>
    <row r="48" spans="1:112" x14ac:dyDescent="0.35">
      <c r="F48" s="2"/>
      <c r="T48" s="2"/>
      <c r="U48" s="2"/>
      <c r="V48" s="2"/>
      <c r="W48" s="2"/>
      <c r="X48" s="2"/>
      <c r="AT48" s="11"/>
    </row>
    <row r="49" spans="6:46" x14ac:dyDescent="0.35">
      <c r="F49" s="2"/>
      <c r="T49" s="2"/>
      <c r="U49" s="2"/>
      <c r="V49" s="2"/>
      <c r="W49" s="2"/>
      <c r="X49" s="2"/>
      <c r="AT49" s="11"/>
    </row>
    <row r="50" spans="6:46" x14ac:dyDescent="0.35">
      <c r="F50" s="2"/>
      <c r="T50" s="2"/>
      <c r="U50" s="2"/>
      <c r="V50" s="2"/>
      <c r="W50" s="2"/>
      <c r="X50" s="2"/>
      <c r="AT50" s="11"/>
    </row>
    <row r="51" spans="6:46" x14ac:dyDescent="0.35">
      <c r="F51" s="2"/>
      <c r="T51" s="2"/>
      <c r="U51" s="2"/>
      <c r="V51" s="2"/>
      <c r="W51" s="2"/>
      <c r="X51" s="2"/>
      <c r="AT51" s="11"/>
    </row>
    <row r="52" spans="6:46" x14ac:dyDescent="0.35">
      <c r="F52" s="2"/>
      <c r="T52" s="2"/>
      <c r="U52" s="2"/>
      <c r="V52" s="2"/>
      <c r="W52" s="2"/>
      <c r="X52" s="2"/>
      <c r="AT52" s="11"/>
    </row>
    <row r="53" spans="6:46" x14ac:dyDescent="0.35">
      <c r="F53" s="2"/>
      <c r="T53" s="2"/>
      <c r="U53" s="2"/>
      <c r="V53" s="2"/>
      <c r="W53" s="2"/>
      <c r="X53" s="2"/>
      <c r="AT53" s="11"/>
    </row>
    <row r="54" spans="6:46" x14ac:dyDescent="0.35">
      <c r="F54" s="2"/>
      <c r="T54" s="2"/>
      <c r="U54" s="2"/>
      <c r="V54" s="2"/>
      <c r="W54" s="2"/>
      <c r="X54" s="2"/>
      <c r="AT54" s="11"/>
    </row>
    <row r="55" spans="6:46" x14ac:dyDescent="0.35">
      <c r="F55" s="2"/>
      <c r="T55" s="2"/>
      <c r="U55" s="2"/>
      <c r="V55" s="2"/>
      <c r="W55" s="2"/>
      <c r="X55" s="2"/>
      <c r="AT55" s="11"/>
    </row>
    <row r="56" spans="6:46" x14ac:dyDescent="0.35">
      <c r="F56" s="2"/>
      <c r="T56" s="2"/>
      <c r="U56" s="2"/>
      <c r="V56" s="2"/>
      <c r="W56" s="2"/>
      <c r="X56" s="2"/>
      <c r="AT56" s="11"/>
    </row>
    <row r="57" spans="6:46" x14ac:dyDescent="0.35">
      <c r="F57" s="2"/>
      <c r="T57" s="2"/>
      <c r="U57" s="2"/>
      <c r="V57" s="2"/>
      <c r="W57" s="2"/>
      <c r="X57" s="2"/>
      <c r="AT57" s="11"/>
    </row>
    <row r="58" spans="6:46" x14ac:dyDescent="0.35">
      <c r="F58" s="2"/>
      <c r="T58" s="2"/>
      <c r="U58" s="2"/>
      <c r="V58" s="2"/>
      <c r="W58" s="2"/>
      <c r="X58" s="2"/>
      <c r="AT58" s="11"/>
    </row>
    <row r="59" spans="6:46" x14ac:dyDescent="0.35">
      <c r="F59" s="2"/>
      <c r="T59" s="2"/>
      <c r="U59" s="2"/>
      <c r="V59" s="2"/>
      <c r="W59" s="2"/>
      <c r="X59" s="2"/>
      <c r="AT59" s="11"/>
    </row>
    <row r="60" spans="6:46" x14ac:dyDescent="0.35">
      <c r="F60" s="2"/>
      <c r="AT60" s="11"/>
    </row>
    <row r="61" spans="6:46" x14ac:dyDescent="0.35">
      <c r="F61" s="2"/>
      <c r="AT61" s="11"/>
    </row>
    <row r="62" spans="6:46" x14ac:dyDescent="0.35">
      <c r="F62" s="2"/>
    </row>
    <row r="63" spans="6:46" x14ac:dyDescent="0.35">
      <c r="F63" s="2"/>
    </row>
  </sheetData>
  <mergeCells count="1">
    <mergeCell ref="B2:E2"/>
  </mergeCells>
  <conditionalFormatting sqref="C9 C11:C14 C22">
    <cfRule type="cellIs" priority="29" stopIfTrue="1" operator="between">
      <formula>0</formula>
      <formula>29</formula>
    </cfRule>
  </conditionalFormatting>
  <conditionalFormatting sqref="C36">
    <cfRule type="cellIs" priority="20" stopIfTrue="1" operator="between">
      <formula>0</formula>
      <formula>29</formula>
    </cfRule>
  </conditionalFormatting>
  <conditionalFormatting sqref="C37">
    <cfRule type="cellIs" priority="19" stopIfTrue="1" operator="between">
      <formula>0</formula>
      <formula>29</formula>
    </cfRule>
  </conditionalFormatting>
  <conditionalFormatting sqref="C4">
    <cfRule type="cellIs" priority="16" stopIfTrue="1" operator="between">
      <formula>0</formula>
      <formula>29</formula>
    </cfRule>
  </conditionalFormatting>
  <conditionalFormatting sqref="C5">
    <cfRule type="cellIs" priority="14" stopIfTrue="1" operator="between">
      <formula>0</formula>
      <formula>29</formula>
    </cfRule>
  </conditionalFormatting>
  <conditionalFormatting sqref="C6">
    <cfRule type="cellIs" priority="13" stopIfTrue="1" operator="between">
      <formula>0</formula>
      <formula>29</formula>
    </cfRule>
  </conditionalFormatting>
  <conditionalFormatting sqref="C7">
    <cfRule type="cellIs" priority="12" stopIfTrue="1" operator="between">
      <formula>0</formula>
      <formula>29</formula>
    </cfRule>
  </conditionalFormatting>
  <conditionalFormatting sqref="C8">
    <cfRule type="cellIs" priority="11" stopIfTrue="1" operator="between">
      <formula>0</formula>
      <formula>29</formula>
    </cfRule>
  </conditionalFormatting>
  <conditionalFormatting sqref="C10">
    <cfRule type="cellIs" priority="9" stopIfTrue="1" operator="between">
      <formula>0</formula>
      <formula>29</formula>
    </cfRule>
  </conditionalFormatting>
  <conditionalFormatting sqref="C17">
    <cfRule type="cellIs" priority="7" stopIfTrue="1" operator="between">
      <formula>0</formula>
      <formula>29</formula>
    </cfRule>
  </conditionalFormatting>
  <conditionalFormatting sqref="C18">
    <cfRule type="cellIs" priority="6" stopIfTrue="1" operator="between">
      <formula>0</formula>
      <formula>29</formula>
    </cfRule>
  </conditionalFormatting>
  <conditionalFormatting sqref="C20">
    <cfRule type="cellIs" priority="4" stopIfTrue="1" operator="between">
      <formula>0</formula>
      <formula>29</formula>
    </cfRule>
  </conditionalFormatting>
  <conditionalFormatting sqref="C21">
    <cfRule type="cellIs" priority="3" stopIfTrue="1" operator="between">
      <formula>0</formula>
      <formula>29</formula>
    </cfRule>
  </conditionalFormatting>
  <conditionalFormatting sqref="C19">
    <cfRule type="cellIs" priority="2" stopIfTrue="1" operator="between">
      <formula>0</formula>
      <formula>29</formula>
    </cfRule>
  </conditionalFormatting>
  <conditionalFormatting sqref="C15">
    <cfRule type="cellIs" priority="1" stopIfTrue="1" operator="between">
      <formula>0</formula>
      <formula>29</formula>
    </cfRule>
  </conditionalFormatting>
  <dataValidations count="13">
    <dataValidation type="whole" allowBlank="1" showErrorMessage="1" errorTitle="Elektronisk tid skal angis" error="fortløpende - 6 sifre - i min. - sek. og 1/100 sek. uten skilletegn._x000a_" promptTitle="Elektronisk tid skal angis" prompt="fortløpende i sek. og 1/100 sek. uten skilletegn." sqref="C36" xr:uid="{9C6C60FF-F43F-481A-AA8F-A78034620F16}">
      <formula1>0</formula1>
      <formula2>595999</formula2>
    </dataValidation>
    <dataValidation type="whole" allowBlank="1" showInputMessage="1" showErrorMessage="1" sqref="B34" xr:uid="{977162D3-9DE2-419D-9256-07C8C7C79DD4}">
      <formula1>-1</formula1>
      <formula2>114</formula2>
    </dataValidation>
    <dataValidation type="whole" allowBlank="1" showInputMessage="1" showErrorMessage="1" errorTitle="Måleresultatet må angis i cm." sqref="C29 C31:C34" xr:uid="{094AEBA5-390D-4157-A26E-B2B628BF1F50}">
      <formula1>0</formula1>
      <formula2>9999</formula2>
    </dataValidation>
    <dataValidation type="whole" allowBlank="1" showInputMessage="1" showErrorMessage="1" errorTitle="Måleresultatet må angis i cm." sqref="C24:C28" xr:uid="{B6C60B38-A3C6-41C8-AE4C-377254FAF0B2}">
      <formula1>0</formula1>
      <formula2>999</formula2>
    </dataValidation>
    <dataValidation type="whole" allowBlank="1" showErrorMessage="1" errorTitle="Elektronisk tid skal angis" error="fortløpende - 3 eller 4 sifre - i sek. og 1/100 sek. uten skilletegn._x000a_" promptTitle="Elektronisk tid skal angis" prompt="fortløpende i sek. og 1/100 sek. uten skilletegn." sqref="C4:C5 C7 C17:C18" xr:uid="{8E2DC450-9E9A-4086-8493-BF21792683AC}">
      <formula1>0</formula1>
      <formula2>5999</formula2>
    </dataValidation>
    <dataValidation type="whole" allowBlank="1" showErrorMessage="1" errorTitle="Manuell tid skal angis" error="fortløpende - 2 eller 3 sifre - i sek. og 1/10 sek. uten skilletegn." promptTitle="Elektronisk tid skal angis" prompt="fortløpende i sek. og 1/100 sek. uten skilletegn." sqref="C6 C19" xr:uid="{8DFE28D3-AE68-4ADB-9789-E74A265B89AB}">
      <formula1>0</formula1>
      <formula2>599</formula2>
    </dataValidation>
    <dataValidation type="whole" allowBlank="1" showInputMessage="1" showErrorMessage="1" errorTitle="Elektronisk tid skal angis" error="fortløpende - 4 eller 5 sifre - i (evt.) min. - sek. og 1/100 sek. uten skilletegn._x000a_" sqref="C9 C20" xr:uid="{053E51DA-C7B1-4C33-8536-817145D569FA}">
      <formula1>0</formula1>
      <formula2>95999</formula2>
    </dataValidation>
    <dataValidation type="whole" allowBlank="1" showInputMessage="1" showErrorMessage="1" errorTitle="Manuell tid skal angis" error="fortløpende - 3 eller 4 sifre - i min.(evt.), sek. og 1/10 sek." sqref="C10 C21" xr:uid="{FDBD0F85-5D98-4FC7-A333-6E6B4FE0D120}">
      <formula1>0</formula1>
      <formula2>9599</formula2>
    </dataValidation>
    <dataValidation type="whole" allowBlank="1" showInputMessage="1" showErrorMessage="1" errorTitle="Elektronisk tid skal angis" error="fortløpende - 5 sifre - i min., sek. og 1/100 sek. uten skilletegn._x000a_" sqref="C11:C12" xr:uid="{815BEAC8-147F-4536-9D47-B992F8224A38}">
      <formula1>0</formula1>
      <formula2>95999</formula2>
    </dataValidation>
    <dataValidation type="whole" allowBlank="1" showInputMessage="1" showErrorMessage="1" errorTitle="Elektronisk tid skal angis" error="fortløpende - 5 eller 6 sifre - i min., sek. og 1/100 sek. uten skilletegn._x000a_" sqref="C22 C13:C14" xr:uid="{36497667-6946-4C40-98A0-02782F222ECC}">
      <formula1>0</formula1>
      <formula2>595999</formula2>
    </dataValidation>
    <dataValidation type="whole" allowBlank="1" showErrorMessage="1" errorTitle="Elektronisk tid skal angis" error="fortløpende - 6 sifre - i min., sek. og 1/100 sek. uten skilletegn._x000a_" promptTitle="Elektronisk tid skal angis" prompt="fortløpende i sek. og 1/100 sek. uten skilletegn." sqref="C15" xr:uid="{CC1614E7-B994-48C8-8A05-CABC393FF7C4}">
      <formula1>0</formula1>
      <formula2>9595999</formula2>
    </dataValidation>
    <dataValidation type="whole" allowBlank="1" showErrorMessage="1" errorTitle="Manuell tid skal angis" error="fortløpende - 5 eller 6 sifre - i timer(evt.), min., sek. og 1/10 sek." promptTitle="Elektronisk tid skal angis" prompt="fortløpende i sek. og 1/100 sek. uten skilletegn." sqref="C37" xr:uid="{111122E1-225D-48D3-A6FA-B30D85E76D13}">
      <formula1>0</formula1>
      <formula2>959599</formula2>
    </dataValidation>
    <dataValidation type="whole" allowBlank="1" showErrorMessage="1" errorTitle="Manuell tid skal angis" error="fortløpende - 3 sifre - i sek. og 1/10 sek. uten skilletegn." promptTitle="Elektronisk tid skal angis" prompt="fortløpende i sek. og 1/100 sek. uten skilletegn." sqref="C8" xr:uid="{7844C760-AA81-490A-BA47-058136712F88}">
      <formula1>0</formula1>
      <formula2>599</formula2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31" r:id="rId4">
          <objectPr defaultSize="0" autoPict="0" r:id="rId5">
            <anchor moveWithCells="1" sizeWithCells="1">
              <from>
                <xdr:col>107</xdr:col>
                <xdr:colOff>0</xdr:colOff>
                <xdr:row>4</xdr:row>
                <xdr:rowOff>6350</xdr:rowOff>
              </from>
              <to>
                <xdr:col>108</xdr:col>
                <xdr:colOff>228600</xdr:colOff>
                <xdr:row>9</xdr:row>
                <xdr:rowOff>0</xdr:rowOff>
              </to>
            </anchor>
          </objectPr>
        </oleObject>
      </mc:Choice>
      <mc:Fallback>
        <oleObject progId="PBrush" shapeId="103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144C-D4C4-4254-A615-CDF363D7933B}">
  <dimension ref="A1:DL63"/>
  <sheetViews>
    <sheetView showRowColHeaders="0" zoomScaleNormal="100" workbookViewId="0"/>
  </sheetViews>
  <sheetFormatPr baseColWidth="10" defaultRowHeight="14.5" x14ac:dyDescent="0.35"/>
  <cols>
    <col min="1" max="1" width="6.26953125" customWidth="1"/>
    <col min="2" max="2" width="17.6328125" customWidth="1"/>
    <col min="4" max="4" width="8.81640625" customWidth="1"/>
    <col min="6" max="106" width="10.90625" hidden="1" customWidth="1"/>
    <col min="107" max="115" width="10.90625" customWidth="1"/>
  </cols>
  <sheetData>
    <row r="1" spans="1:116" ht="12.5" customHeight="1" x14ac:dyDescent="0.35">
      <c r="A1" s="1"/>
      <c r="B1" s="1"/>
      <c r="C1" s="1"/>
      <c r="D1" s="1"/>
      <c r="E1" s="1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52"/>
      <c r="T1" s="52"/>
      <c r="U1" s="52"/>
      <c r="V1" s="52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52"/>
      <c r="AQ1" s="52"/>
      <c r="AR1" s="52"/>
      <c r="AS1" s="52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</row>
    <row r="2" spans="1:116" ht="18" customHeight="1" x14ac:dyDescent="0.35">
      <c r="A2" s="2"/>
      <c r="B2" s="83" t="s">
        <v>56</v>
      </c>
      <c r="C2" s="83"/>
      <c r="D2" s="83"/>
      <c r="E2" s="83"/>
      <c r="F2" s="3"/>
      <c r="G2" s="4"/>
      <c r="H2" s="36"/>
      <c r="I2" s="4"/>
      <c r="J2" s="4"/>
      <c r="K2" s="5"/>
      <c r="L2" s="5"/>
      <c r="M2" s="4"/>
      <c r="N2" s="4"/>
      <c r="O2" s="4"/>
      <c r="P2" s="4"/>
      <c r="Q2" s="4"/>
      <c r="R2" s="5"/>
      <c r="S2" s="4"/>
      <c r="T2" s="5"/>
      <c r="U2" s="4"/>
      <c r="V2" s="5"/>
      <c r="W2" s="4"/>
      <c r="X2" s="5"/>
      <c r="Y2" s="4"/>
      <c r="Z2" s="5"/>
      <c r="AA2" s="4"/>
      <c r="AB2" s="5"/>
      <c r="AC2" s="4"/>
      <c r="AD2" s="4"/>
      <c r="AE2" s="11"/>
      <c r="AF2" s="5"/>
      <c r="AG2" s="4"/>
      <c r="AH2" s="4"/>
      <c r="AI2" s="4"/>
      <c r="AJ2" s="5"/>
      <c r="AK2" s="4"/>
      <c r="AL2" s="4"/>
      <c r="AM2" s="11"/>
      <c r="AN2" s="5"/>
      <c r="AO2" s="4"/>
      <c r="AP2" s="36"/>
      <c r="AQ2" s="37"/>
      <c r="AR2" s="37"/>
      <c r="AS2" s="36"/>
      <c r="AT2" s="4"/>
      <c r="AU2" s="4"/>
      <c r="AV2" s="5"/>
      <c r="AW2" s="4"/>
      <c r="AX2" s="4"/>
      <c r="AY2" s="4"/>
      <c r="AZ2" s="35"/>
      <c r="BA2" s="11"/>
      <c r="BB2" s="4"/>
      <c r="BC2" s="5"/>
      <c r="BD2" s="35"/>
      <c r="BE2" s="4"/>
      <c r="BF2" s="4"/>
      <c r="BG2" s="13"/>
      <c r="BH2" s="13"/>
      <c r="BI2" s="4"/>
      <c r="BJ2" s="4"/>
      <c r="BK2" s="13"/>
      <c r="BL2" s="13"/>
      <c r="BM2" s="4"/>
      <c r="BN2" s="4"/>
      <c r="BO2" s="13"/>
      <c r="BP2" s="13"/>
      <c r="BQ2" s="4"/>
      <c r="BR2" s="4"/>
      <c r="BS2" s="13"/>
      <c r="BT2" s="13"/>
      <c r="BU2" s="4"/>
      <c r="BV2" s="4"/>
      <c r="BW2" s="13"/>
      <c r="BX2" s="13"/>
      <c r="BY2" s="23"/>
      <c r="BZ2" s="4"/>
      <c r="CA2" s="13"/>
      <c r="CB2" s="13"/>
      <c r="CC2" s="23"/>
      <c r="CD2" s="4"/>
      <c r="CE2" s="13"/>
      <c r="CF2" s="13"/>
      <c r="CG2" s="23"/>
      <c r="CH2" s="4"/>
      <c r="CI2" s="13"/>
      <c r="CJ2" s="13"/>
      <c r="CK2" s="23"/>
      <c r="CL2" s="4"/>
      <c r="CM2" s="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</row>
    <row r="3" spans="1:116" ht="12.5" customHeight="1" thickBot="1" x14ac:dyDescent="0.4">
      <c r="A3" s="2"/>
      <c r="B3" s="80" t="s">
        <v>0</v>
      </c>
      <c r="C3" s="81" t="s">
        <v>28</v>
      </c>
      <c r="D3" s="81" t="s">
        <v>29</v>
      </c>
      <c r="E3" s="82" t="s">
        <v>18</v>
      </c>
      <c r="F3" s="34"/>
      <c r="G3" s="10" t="s">
        <v>1</v>
      </c>
      <c r="H3" s="34"/>
      <c r="I3" s="34"/>
      <c r="J3" s="3"/>
      <c r="K3" s="10" t="s">
        <v>2</v>
      </c>
      <c r="L3" s="11"/>
      <c r="M3" s="11"/>
      <c r="N3" s="11"/>
      <c r="O3" s="12" t="s">
        <v>3</v>
      </c>
      <c r="P3" s="13"/>
      <c r="Q3" s="11"/>
      <c r="R3" s="11"/>
      <c r="S3" s="10" t="s">
        <v>4</v>
      </c>
      <c r="T3" s="11"/>
      <c r="U3" s="11"/>
      <c r="V3" s="13"/>
      <c r="W3" s="12" t="s">
        <v>5</v>
      </c>
      <c r="X3" s="13"/>
      <c r="Y3" s="11"/>
      <c r="Z3" s="13"/>
      <c r="AA3" s="10" t="s">
        <v>6</v>
      </c>
      <c r="AB3" s="12"/>
      <c r="AC3" s="11"/>
      <c r="AD3" s="13"/>
      <c r="AE3" s="10" t="s">
        <v>7</v>
      </c>
      <c r="AF3" s="12"/>
      <c r="AG3" s="11"/>
      <c r="AH3" s="11"/>
      <c r="AI3" s="10" t="s">
        <v>8</v>
      </c>
      <c r="AJ3" s="12"/>
      <c r="AK3" s="11"/>
      <c r="AL3" s="11"/>
      <c r="AM3" s="10" t="s">
        <v>9</v>
      </c>
      <c r="AN3" s="12"/>
      <c r="AO3" s="11"/>
      <c r="AP3" s="37"/>
      <c r="AQ3" s="38" t="s">
        <v>48</v>
      </c>
      <c r="AR3" s="52"/>
      <c r="AS3" s="52"/>
      <c r="AT3" s="34"/>
      <c r="AU3" s="10" t="s">
        <v>57</v>
      </c>
      <c r="AV3" s="12"/>
      <c r="AW3" s="11"/>
      <c r="AX3" s="11"/>
      <c r="AY3" s="10" t="s">
        <v>20</v>
      </c>
      <c r="AZ3" s="12"/>
      <c r="BA3" s="11"/>
      <c r="BB3" s="11"/>
      <c r="BC3" s="10" t="s">
        <v>21</v>
      </c>
      <c r="BD3" s="13"/>
      <c r="BE3" s="11"/>
      <c r="BF3" s="11"/>
      <c r="BG3" s="10" t="s">
        <v>12</v>
      </c>
      <c r="BH3" s="35"/>
      <c r="BI3" s="11"/>
      <c r="BJ3" s="11"/>
      <c r="BK3" s="12" t="s">
        <v>22</v>
      </c>
      <c r="BL3" s="35"/>
      <c r="BM3" s="11"/>
      <c r="BN3" s="11"/>
      <c r="BO3" s="12" t="s">
        <v>11</v>
      </c>
      <c r="BP3" s="13"/>
      <c r="BQ3" s="11"/>
      <c r="BR3" s="11"/>
      <c r="BS3" s="12" t="s">
        <v>17</v>
      </c>
      <c r="BT3" s="13"/>
      <c r="BU3" s="11"/>
      <c r="BV3" s="11"/>
      <c r="BW3" s="12" t="s">
        <v>23</v>
      </c>
      <c r="BX3" s="13"/>
      <c r="BY3" s="11"/>
      <c r="BZ3" s="11"/>
      <c r="CA3" s="12" t="s">
        <v>10</v>
      </c>
      <c r="CB3" s="13"/>
      <c r="CC3" s="11"/>
      <c r="CD3" s="11"/>
      <c r="CE3" s="12" t="s">
        <v>14</v>
      </c>
      <c r="CF3" s="13"/>
      <c r="CG3" s="34"/>
      <c r="CH3" s="11"/>
      <c r="CI3" s="12" t="s">
        <v>15</v>
      </c>
      <c r="CJ3" s="13"/>
      <c r="CK3" s="34"/>
      <c r="CL3" s="11"/>
      <c r="CM3" s="12" t="s">
        <v>16</v>
      </c>
      <c r="CN3" s="13"/>
      <c r="CO3" s="34"/>
      <c r="CP3" s="11"/>
      <c r="CQ3" s="12" t="s">
        <v>13</v>
      </c>
      <c r="CR3" s="13"/>
      <c r="CS3" s="34"/>
      <c r="CT3" s="11"/>
      <c r="CU3" s="48" t="s">
        <v>53</v>
      </c>
      <c r="CV3" s="34"/>
      <c r="CW3" s="34"/>
      <c r="CX3" s="34"/>
      <c r="CY3" s="48" t="s">
        <v>54</v>
      </c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</row>
    <row r="4" spans="1:116" ht="12.5" customHeight="1" x14ac:dyDescent="0.35">
      <c r="A4" s="2"/>
      <c r="B4" s="75" t="s">
        <v>49</v>
      </c>
      <c r="C4" s="29"/>
      <c r="D4" s="28" t="str">
        <f>IF(J5&gt;=0,J9,"")</f>
        <v/>
      </c>
      <c r="E4" s="20" t="str">
        <f>IF(J5=1,"Feil i resultat?",IF(J9=J10,"",""))</f>
        <v/>
      </c>
      <c r="F4" s="3">
        <f>C4/100</f>
        <v>0</v>
      </c>
      <c r="G4" s="14">
        <v>-100000</v>
      </c>
      <c r="H4" s="34"/>
      <c r="I4" s="34"/>
      <c r="J4" s="16" t="s">
        <v>24</v>
      </c>
      <c r="K4" s="14">
        <v>-100000</v>
      </c>
      <c r="L4" s="11"/>
      <c r="M4" s="15"/>
      <c r="N4" s="16" t="s">
        <v>24</v>
      </c>
      <c r="O4" s="17">
        <v>-100000</v>
      </c>
      <c r="P4" s="13"/>
      <c r="Q4" s="15"/>
      <c r="R4" s="16" t="s">
        <v>24</v>
      </c>
      <c r="S4" s="14">
        <v>-100000</v>
      </c>
      <c r="T4" s="11"/>
      <c r="U4" s="11"/>
      <c r="V4" s="18" t="s">
        <v>24</v>
      </c>
      <c r="W4" s="14">
        <v>-100000</v>
      </c>
      <c r="X4" s="19"/>
      <c r="Y4" s="15"/>
      <c r="Z4" s="19" t="s">
        <v>24</v>
      </c>
      <c r="AA4" s="14">
        <v>-100000</v>
      </c>
      <c r="AB4" s="19"/>
      <c r="AC4" s="15"/>
      <c r="AD4" s="19" t="s">
        <v>24</v>
      </c>
      <c r="AE4" s="14">
        <v>-100000</v>
      </c>
      <c r="AF4" s="53"/>
      <c r="AG4" s="15"/>
      <c r="AH4" s="19" t="s">
        <v>24</v>
      </c>
      <c r="AI4" s="14">
        <v>-100000</v>
      </c>
      <c r="AJ4" s="13"/>
      <c r="AK4" s="15"/>
      <c r="AL4" s="19" t="s">
        <v>24</v>
      </c>
      <c r="AM4" s="14">
        <v>-100000</v>
      </c>
      <c r="AN4" s="13"/>
      <c r="AO4" s="15"/>
      <c r="AP4" s="39" t="s">
        <v>24</v>
      </c>
      <c r="AQ4" s="14">
        <v>-100000</v>
      </c>
      <c r="AR4" s="34"/>
      <c r="AS4" s="34"/>
      <c r="AT4" s="19" t="s">
        <v>24</v>
      </c>
      <c r="AU4" s="14">
        <v>-100000</v>
      </c>
      <c r="AV4" s="13"/>
      <c r="AW4" s="15"/>
      <c r="AX4" s="18" t="s">
        <v>24</v>
      </c>
      <c r="AY4" s="14">
        <v>-100000</v>
      </c>
      <c r="AZ4" s="13"/>
      <c r="BA4" s="15"/>
      <c r="BB4" s="18" t="s">
        <v>24</v>
      </c>
      <c r="BC4" s="14">
        <v>-100000</v>
      </c>
      <c r="BD4" s="13"/>
      <c r="BE4" s="15"/>
      <c r="BF4" s="18"/>
      <c r="BG4" s="14">
        <v>-100000</v>
      </c>
      <c r="BH4" s="35"/>
      <c r="BI4" s="11"/>
      <c r="BJ4" s="15"/>
      <c r="BK4" s="14">
        <v>-100000</v>
      </c>
      <c r="BL4" s="35"/>
      <c r="BM4" s="15"/>
      <c r="BN4" s="15"/>
      <c r="BO4" s="14">
        <v>-100000</v>
      </c>
      <c r="BP4" s="13"/>
      <c r="BQ4" s="15"/>
      <c r="BR4" s="15"/>
      <c r="BS4" s="14">
        <v>-100000</v>
      </c>
      <c r="BT4" s="13"/>
      <c r="BU4" s="15"/>
      <c r="BV4" s="15"/>
      <c r="BW4" s="14">
        <v>-100000</v>
      </c>
      <c r="BX4" s="13"/>
      <c r="BY4" s="15"/>
      <c r="BZ4" s="15"/>
      <c r="CA4" s="14">
        <v>-100000</v>
      </c>
      <c r="CB4" s="13"/>
      <c r="CC4" s="15"/>
      <c r="CD4" s="15"/>
      <c r="CE4" s="14">
        <v>-100000</v>
      </c>
      <c r="CF4" s="13"/>
      <c r="CG4" s="23"/>
      <c r="CH4" s="15"/>
      <c r="CI4" s="14">
        <v>-100000</v>
      </c>
      <c r="CJ4" s="13"/>
      <c r="CK4" s="23"/>
      <c r="CL4" s="15"/>
      <c r="CM4" s="14">
        <v>-100000</v>
      </c>
      <c r="CN4" s="13"/>
      <c r="CO4" s="23"/>
      <c r="CP4" s="15"/>
      <c r="CQ4" s="14">
        <v>-100000</v>
      </c>
      <c r="CR4" s="13"/>
      <c r="CS4" s="23"/>
      <c r="CT4" s="15"/>
      <c r="CU4" s="14">
        <v>-100000</v>
      </c>
      <c r="CV4" s="34"/>
      <c r="CW4" s="34"/>
      <c r="CX4" s="34"/>
      <c r="CY4" s="14">
        <v>-100000</v>
      </c>
      <c r="CZ4" s="34"/>
      <c r="DA4" s="34"/>
      <c r="DB4" s="34"/>
      <c r="DC4" s="34"/>
      <c r="DD4" s="64"/>
      <c r="DE4" s="65"/>
      <c r="DF4" s="65"/>
      <c r="DG4" s="65"/>
      <c r="DH4" s="34"/>
      <c r="DI4" s="34"/>
      <c r="DJ4" s="34"/>
      <c r="DK4" s="34"/>
    </row>
    <row r="5" spans="1:116" ht="12.5" customHeight="1" x14ac:dyDescent="0.35">
      <c r="A5" s="2"/>
      <c r="B5" s="75" t="s">
        <v>30</v>
      </c>
      <c r="C5" s="29"/>
      <c r="D5" s="40" t="str">
        <f>IF(N5&gt;=0,N9,"")</f>
        <v/>
      </c>
      <c r="E5" s="20" t="str">
        <f>IF(N5=1,"Feil i resultat?",IF(N9=N10,"","Inkonsistent."))</f>
        <v/>
      </c>
      <c r="F5" s="41">
        <f>C5/100</f>
        <v>0</v>
      </c>
      <c r="G5" s="34">
        <v>0</v>
      </c>
      <c r="H5" s="34"/>
      <c r="I5" s="34"/>
      <c r="J5" s="14">
        <f>IF(F4="",-1,IF(F4&lt;0,-1,IF(F4=0,-1,IF(F4&lt;6.48,1,IF(F4&gt;11.76,1,0)))))</f>
        <v>-1</v>
      </c>
      <c r="K5" s="22">
        <v>0</v>
      </c>
      <c r="L5" s="13">
        <v>0.16400000000000001</v>
      </c>
      <c r="M5" s="14"/>
      <c r="N5" s="14">
        <f>IF(F5="",-1,IF(F5&lt;0,-1,IF(F5=0,-1,IF(F5&lt;10.13,1,IF(F5&gt;18.587,1,0)))))</f>
        <v>-1</v>
      </c>
      <c r="O5" s="13">
        <v>0</v>
      </c>
      <c r="P5" s="13">
        <v>0.34</v>
      </c>
      <c r="Q5" s="14"/>
      <c r="R5" s="14">
        <f>IF(F7="",-1,IF(F7&lt;0,-1,IF(F7=0,-1,IF(F7&lt;20.4,1,IF(F7&gt;40.767,1,0)))))</f>
        <v>-1</v>
      </c>
      <c r="S5" s="22">
        <v>0</v>
      </c>
      <c r="T5" s="13">
        <v>0.77</v>
      </c>
      <c r="U5" s="14"/>
      <c r="V5" s="14">
        <f>IF(F9="",-1,IF(F9&lt;0,-1,IF(F9=0,-1,IF(F9&lt;45.6,1,IF(F9&gt;98.378,1,0)))))</f>
        <v>-1</v>
      </c>
      <c r="W5" s="22">
        <v>0</v>
      </c>
      <c r="X5" s="13">
        <v>1.8</v>
      </c>
      <c r="Y5" s="14"/>
      <c r="Z5" s="17">
        <f>IF(F11="",-1,IF(F11&lt;0,-1,IF(F11=0,-1,IF(F11&lt;108.2,1,IF(F11&gt;229.34,1,0)))))</f>
        <v>-1</v>
      </c>
      <c r="AA5" s="22">
        <v>0</v>
      </c>
      <c r="AB5" s="54"/>
      <c r="AC5" s="14"/>
      <c r="AD5" s="17">
        <f>IF(F12="",-1,IF(F12&lt;0,-1,IF(F12=0,-1,IF(F12&lt;220,1,IF(F12&gt;465.77,1,0)))))</f>
        <v>-1</v>
      </c>
      <c r="AE5" s="22">
        <v>0</v>
      </c>
      <c r="AF5" s="54"/>
      <c r="AG5" s="14"/>
      <c r="AH5" s="17">
        <f>IF(F13="",-1,IF(F13&lt;0,-1,IF(F13=0,-1,IF(F13&lt;471,1,IF(F13&gt;1012.7,1,0)))))</f>
        <v>-1</v>
      </c>
      <c r="AI5" s="22">
        <v>0</v>
      </c>
      <c r="AJ5" s="54"/>
      <c r="AK5" s="14"/>
      <c r="AL5" s="17">
        <f>IF(F14="",-1,IF(F14&lt;0,-1,IF(F14=0,-1,IF(F14&lt;812,1,IF(F14&gt;1772.42,1,0)))))</f>
        <v>-1</v>
      </c>
      <c r="AM5" s="22">
        <v>0</v>
      </c>
      <c r="AN5" s="54"/>
      <c r="AO5" s="14"/>
      <c r="AP5" s="17">
        <f>IF(F15="",-1,IF(F15&lt;0,-1,IF(F15=0,-1,IF(F15&lt;1693,1,IF(F15&gt;3796.04,1,0)))))</f>
        <v>-1</v>
      </c>
      <c r="AQ5" s="34">
        <v>0</v>
      </c>
      <c r="AR5" s="34"/>
      <c r="AS5" s="34"/>
      <c r="AT5" s="17">
        <f>IF(F17="",-1,IF(F17&lt;0,-1,IF(F17=0,-1,IF(F17&lt;7.09,1,IF(F17&gt;14.99,1,0)))))</f>
        <v>-1</v>
      </c>
      <c r="AU5" s="22">
        <v>0</v>
      </c>
      <c r="AV5" s="13">
        <v>0.19</v>
      </c>
      <c r="AW5" s="14"/>
      <c r="AX5" s="17">
        <f>IF(F18="",-1,IF(F18&lt;0,-1,IF(F18=0,-1,IF(F18&lt;11.46,1,IF(F18&gt;29.19,1,0)))))</f>
        <v>-1</v>
      </c>
      <c r="AY5" s="22">
        <v>0</v>
      </c>
      <c r="AZ5" s="54"/>
      <c r="BA5" s="14"/>
      <c r="BB5" s="17">
        <f>IF(F20="",-1,IF(F20&lt;0,-1,IF(F20=0,-1,IF(F20&lt;49.1,1,IF(F20&gt;129.563,1,0)))))</f>
        <v>-1</v>
      </c>
      <c r="BC5" s="22">
        <v>0</v>
      </c>
      <c r="BD5" s="54"/>
      <c r="BE5" s="14"/>
      <c r="BF5" s="17">
        <f>IF(F22="",-1,IF(F22&lt;0,-1,IF(F22=0,-1,IF(F22&lt;507,1,IF(F22&gt;1193.21,1,0)))))</f>
        <v>-1</v>
      </c>
      <c r="BG5" s="22">
        <v>0</v>
      </c>
      <c r="BH5" s="13"/>
      <c r="BI5" s="11">
        <v>0</v>
      </c>
      <c r="BJ5" s="17">
        <f>IF(F24="",-1,IF(F24&lt;0,-1,IF(F24=0,-1,IF(F24&lt;0.987,1,IF(F24&gt;2.26,1,0)))))</f>
        <v>-1</v>
      </c>
      <c r="BK5" s="22">
        <v>0</v>
      </c>
      <c r="BL5" s="35"/>
      <c r="BM5" s="11">
        <v>0</v>
      </c>
      <c r="BN5" s="17">
        <f>IF(F25="",-1,IF(F25&lt;0,-1,IF(F25=0,-1,IF(F25&lt;0.856,1,IF(F25&gt;1.89,1,0)))))</f>
        <v>-1</v>
      </c>
      <c r="BO5" s="22">
        <v>0</v>
      </c>
      <c r="BP5" s="13"/>
      <c r="BQ5" s="11">
        <v>0</v>
      </c>
      <c r="BR5" s="17">
        <f>IF(F26="",-1,IF(F26&lt;0,-1,IF(F26=0,-1,IF(F26&lt;1.085,1,IF(F26&gt;5.55,1,0)))))</f>
        <v>-1</v>
      </c>
      <c r="BS5" s="22">
        <v>0</v>
      </c>
      <c r="BT5" s="13"/>
      <c r="BU5" s="11">
        <v>0</v>
      </c>
      <c r="BV5" s="17">
        <f>IF(F27="",-1,IF(F27&lt;0,-1,IF(F27=0,-1,IF(F27&lt;2.748,1,IF(F27&gt;8.36,1,0)))))</f>
        <v>-1</v>
      </c>
      <c r="BW5" s="22">
        <v>0</v>
      </c>
      <c r="BX5" s="13"/>
      <c r="BY5" s="11">
        <v>0</v>
      </c>
      <c r="BZ5" s="17">
        <f>IF(F28="",-1,IF(F28&lt;0,-1,IF(F28=0,-1,IF(F28&lt;1.779,1,IF(F28&gt;3.6,1,0)))))</f>
        <v>-1</v>
      </c>
      <c r="CA5" s="22">
        <v>0</v>
      </c>
      <c r="CB5" s="13"/>
      <c r="CC5" s="11">
        <v>0</v>
      </c>
      <c r="CD5" s="17">
        <f>IF(F29="",-1,IF(F29&lt;0,-1,IF(F29=0,-1,IF(F29&lt;5.81,1,IF(F29&gt;17.7,1,0)))))</f>
        <v>-1</v>
      </c>
      <c r="CE5" s="22">
        <v>0</v>
      </c>
      <c r="CF5" s="13"/>
      <c r="CG5" s="23"/>
      <c r="CH5" s="17">
        <f>IF(F31="",-1,IF(F31&lt;0,-1,IF(F31=0,-1,IF(F31&lt;3.728,1,IF(F31&gt;25,1,0)))))</f>
        <v>-1</v>
      </c>
      <c r="CI5" s="22">
        <v>0</v>
      </c>
      <c r="CJ5" s="13"/>
      <c r="CK5" s="23"/>
      <c r="CL5" s="17">
        <f>IF(F32="",-1,IF(F32&lt;0,-1,IF(F32=0,-1,IF(F32&lt;11.6,1,IF(F32&gt;86,1,0)))))</f>
        <v>-1</v>
      </c>
      <c r="CM5" s="22">
        <v>0</v>
      </c>
      <c r="CN5" s="13"/>
      <c r="CO5" s="23"/>
      <c r="CP5" s="17">
        <f>IF(F33="",-1,IF(F33&lt;0,-1,IF(F33=0,-1,IF(F33&lt;7.58,1,IF(F33&gt;94,1,0)))))</f>
        <v>-1</v>
      </c>
      <c r="CQ5" s="22">
        <v>0</v>
      </c>
      <c r="CR5" s="13"/>
      <c r="CS5" s="23"/>
      <c r="CT5" s="17">
        <f>IF(F34="",-1,IF(F34&lt;0,-1,IF(F34=0,-1,IF(F34&lt;12.01,1,IF(F34&gt;84.1,1,0)))))</f>
        <v>-1</v>
      </c>
      <c r="CU5" s="47">
        <v>0</v>
      </c>
      <c r="CV5" s="34"/>
      <c r="CW5" s="34"/>
      <c r="CX5" s="17">
        <f>IF(F36="",-1,IF(F36&lt;0,-1,IF(F36=0,-1,IF(F36&lt;647,1,IF(F36&gt;1453,1,0)))))</f>
        <v>-1</v>
      </c>
      <c r="CY5" s="47">
        <v>0</v>
      </c>
      <c r="CZ5" s="34"/>
      <c r="DA5" s="34"/>
      <c r="DB5" s="17">
        <f>IF(F37="",-1,IF(F37&lt;0,-1,IF(F37=0,-1,IF(F37&lt;1123,1,IF(F37&gt;2521,1,0)))))</f>
        <v>-1</v>
      </c>
      <c r="DC5" s="34"/>
      <c r="DD5" s="65"/>
      <c r="DE5" s="65"/>
      <c r="DF5" s="65"/>
      <c r="DG5" s="65"/>
      <c r="DH5" s="34"/>
      <c r="DI5" s="34"/>
      <c r="DJ5" s="34"/>
      <c r="DK5" s="34"/>
    </row>
    <row r="6" spans="1:116" ht="12.5" customHeight="1" x14ac:dyDescent="0.35">
      <c r="A6" s="2"/>
      <c r="B6" s="75" t="s">
        <v>31</v>
      </c>
      <c r="C6" s="58"/>
      <c r="D6" s="28" t="str">
        <f>IF(N12&gt;=0,N17,"")</f>
        <v/>
      </c>
      <c r="E6" s="20" t="str">
        <f>IF(N12=1,"Feil i resultat?",IF(N17=N18,"","Inkonsistent."))</f>
        <v/>
      </c>
      <c r="F6" s="21">
        <f>C6/10</f>
        <v>0</v>
      </c>
      <c r="G6" s="35">
        <v>6.49</v>
      </c>
      <c r="H6" s="35">
        <v>0.111</v>
      </c>
      <c r="I6" s="11">
        <v>1300</v>
      </c>
      <c r="J6" s="13">
        <f>IF(J5&lt;0,0,LOOKUP(F4,G4:G32,G5:G33))</f>
        <v>0</v>
      </c>
      <c r="K6" s="11">
        <v>10.130000000000001</v>
      </c>
      <c r="L6" s="13">
        <v>0.16400000000000001</v>
      </c>
      <c r="M6" s="11">
        <v>1300</v>
      </c>
      <c r="N6" s="13">
        <f>IF(N5&lt;0,0,LOOKUP(F5,K4:K32,K5:K33))</f>
        <v>0</v>
      </c>
      <c r="O6" s="11">
        <v>20.399999999999999</v>
      </c>
      <c r="P6" s="13">
        <v>0.34</v>
      </c>
      <c r="Q6" s="11">
        <v>1300</v>
      </c>
      <c r="R6" s="13">
        <f>IF(R5&lt;0,0,LOOKUP(F7,O4:O32,O5:O33))</f>
        <v>0</v>
      </c>
      <c r="S6" s="13">
        <v>45.6</v>
      </c>
      <c r="T6" s="13">
        <v>0.77</v>
      </c>
      <c r="U6" s="11">
        <v>1300</v>
      </c>
      <c r="V6" s="13">
        <f>IF(V5&lt;0,0,LOOKUP(F9,S4:S32,S5:S33))</f>
        <v>0</v>
      </c>
      <c r="W6" s="13">
        <v>108.2</v>
      </c>
      <c r="X6" s="13">
        <v>1.8</v>
      </c>
      <c r="Y6" s="11">
        <v>1300</v>
      </c>
      <c r="Z6" s="13">
        <f>IF(Z5&lt;0,0,LOOKUP(F11,W4:W32,W5:W33))</f>
        <v>0</v>
      </c>
      <c r="AA6" s="13">
        <v>220</v>
      </c>
      <c r="AB6" s="13">
        <v>3.7</v>
      </c>
      <c r="AC6" s="11">
        <v>1300</v>
      </c>
      <c r="AD6" s="13">
        <f>IF(AD5&lt;0,0,LOOKUP(F12,AA4:AA32,AA5:AA33))</f>
        <v>0</v>
      </c>
      <c r="AE6" s="13">
        <v>471</v>
      </c>
      <c r="AF6" s="13">
        <v>8</v>
      </c>
      <c r="AG6" s="11">
        <v>1300</v>
      </c>
      <c r="AH6" s="13">
        <f>IF(AH5&lt;0,0,LOOKUP(F13,AE4:AE32,AE5:AE33))</f>
        <v>0</v>
      </c>
      <c r="AI6" s="13">
        <v>812</v>
      </c>
      <c r="AJ6" s="13">
        <v>14</v>
      </c>
      <c r="AK6" s="11">
        <v>1300</v>
      </c>
      <c r="AL6" s="13">
        <f>IF(AL5&lt;0,0,LOOKUP(F14,AI4:AI32,AI5:AI33))</f>
        <v>0</v>
      </c>
      <c r="AM6" s="13">
        <v>1693</v>
      </c>
      <c r="AN6" s="13">
        <v>30.8</v>
      </c>
      <c r="AO6" s="11">
        <v>1300</v>
      </c>
      <c r="AP6" s="13">
        <f>IF(AP5&lt;0,0,LOOKUP(F15,AM4:AM32,AM5:AM33))</f>
        <v>0</v>
      </c>
      <c r="AQ6" s="53">
        <v>7.11</v>
      </c>
      <c r="AR6" s="53">
        <v>0.11600000000000001</v>
      </c>
      <c r="AS6" s="11">
        <v>1300</v>
      </c>
      <c r="AT6" s="13">
        <f>IF(AT5&lt;0,0,LOOKUP(F17,AQ4:AQ32,AQ5:AQ33))</f>
        <v>0</v>
      </c>
      <c r="AU6" s="13">
        <v>11.46</v>
      </c>
      <c r="AV6" s="13">
        <v>0.19</v>
      </c>
      <c r="AW6" s="11">
        <v>1300</v>
      </c>
      <c r="AX6" s="13">
        <f>IF(AX5&lt;0,0,LOOKUP(F18,AU4:AU32,AU5:AU33))</f>
        <v>0</v>
      </c>
      <c r="AY6" s="51">
        <v>49.1</v>
      </c>
      <c r="AZ6" s="13">
        <v>0.85</v>
      </c>
      <c r="BA6" s="11">
        <v>1300</v>
      </c>
      <c r="BB6" s="13">
        <f>IF(BB5&lt;0,0,LOOKUP(F20,AY4:AY32,AY5:AY33))</f>
        <v>0</v>
      </c>
      <c r="BC6" s="13">
        <v>507</v>
      </c>
      <c r="BD6" s="13">
        <v>9.25</v>
      </c>
      <c r="BE6" s="11">
        <v>1300</v>
      </c>
      <c r="BF6" s="13">
        <f>IF(BF5&lt;0,0,LOOKUP(F22,BC4:BC32,BC5:BC33))</f>
        <v>0</v>
      </c>
      <c r="BG6" s="13">
        <v>0.98699999999999999</v>
      </c>
      <c r="BH6" s="13">
        <v>0.03</v>
      </c>
      <c r="BI6" s="11">
        <v>0</v>
      </c>
      <c r="BJ6" s="13">
        <f>IF(BJ5&lt;0,0,LOOKUP(F24,BG4:BG32,BG4:BG32))</f>
        <v>0</v>
      </c>
      <c r="BK6" s="13">
        <v>0.85599999999999998</v>
      </c>
      <c r="BL6" s="13">
        <v>2.1000000000000001E-2</v>
      </c>
      <c r="BM6" s="11">
        <v>0</v>
      </c>
      <c r="BN6" s="13">
        <f>IF(BN5&lt;0,0,LOOKUP(F25,BK4:BK32,BK4:BK32))</f>
        <v>0</v>
      </c>
      <c r="BO6" s="13">
        <v>1.085</v>
      </c>
      <c r="BP6" s="13">
        <v>0.05</v>
      </c>
      <c r="BQ6" s="11">
        <v>0</v>
      </c>
      <c r="BR6" s="13">
        <f>IF(BR5&lt;0,0,LOOKUP(F26,BO4:BO32,BO4:BO32))</f>
        <v>0</v>
      </c>
      <c r="BS6" s="13">
        <v>2.7480000000000002</v>
      </c>
      <c r="BT6" s="13">
        <v>0.13100000000000001</v>
      </c>
      <c r="BU6" s="11">
        <v>0</v>
      </c>
      <c r="BV6" s="13">
        <f>IF(BV5&lt;0,0,LOOKUP(F27,BS4:BS32,BS4:BS32))</f>
        <v>0</v>
      </c>
      <c r="BW6" s="13">
        <v>1.7789999999999999</v>
      </c>
      <c r="BX6" s="13">
        <v>3.9E-2</v>
      </c>
      <c r="BY6" s="11">
        <v>0</v>
      </c>
      <c r="BZ6" s="13">
        <f>IF(BZ5&lt;0,0,LOOKUP(F28,BW4:BW32,BW4:BW32))</f>
        <v>0</v>
      </c>
      <c r="CA6" s="13">
        <v>5.81</v>
      </c>
      <c r="CB6" s="13">
        <v>0.27800000000000002</v>
      </c>
      <c r="CC6" s="11">
        <v>0</v>
      </c>
      <c r="CD6" s="13">
        <f>IF(CD5&lt;0,0,LOOKUP(F29,CA4:CA32,CA4:CA32))</f>
        <v>0</v>
      </c>
      <c r="CE6" s="13">
        <v>3.7280000000000002</v>
      </c>
      <c r="CF6" s="13">
        <v>0.42</v>
      </c>
      <c r="CG6" s="23">
        <v>0</v>
      </c>
      <c r="CH6" s="13">
        <f>IF(CH5&lt;0,0,LOOKUP(F31,CE4:CE32,CE4:CE32))</f>
        <v>0</v>
      </c>
      <c r="CI6" s="13">
        <v>11.6</v>
      </c>
      <c r="CJ6" s="13">
        <v>0.6</v>
      </c>
      <c r="CK6" s="23">
        <v>0</v>
      </c>
      <c r="CL6" s="13">
        <f>IF(CL5&lt;0,0,LOOKUP(F32,CI4:CI32,CI4:CI32))</f>
        <v>0</v>
      </c>
      <c r="CM6" s="13">
        <v>7.58</v>
      </c>
      <c r="CN6" s="13">
        <v>1.1000000000000001</v>
      </c>
      <c r="CO6" s="23">
        <v>0</v>
      </c>
      <c r="CP6" s="13">
        <f>IF(CP5&lt;0,0,LOOKUP(F33,CM4:CM32,CM4:CM32))</f>
        <v>0</v>
      </c>
      <c r="CQ6" s="22">
        <v>12.01</v>
      </c>
      <c r="CR6" s="13">
        <v>0.46</v>
      </c>
      <c r="CS6" s="23">
        <v>0</v>
      </c>
      <c r="CT6" s="13">
        <f>IF(CT5&lt;0,0,LOOKUP(F34,CQ4:CQ32,CQ4:CQ32))</f>
        <v>0</v>
      </c>
      <c r="CU6" s="34">
        <v>647</v>
      </c>
      <c r="CV6" s="34">
        <v>12</v>
      </c>
      <c r="CW6" s="11">
        <v>1300</v>
      </c>
      <c r="CX6" s="13">
        <f>IF(CX5&lt;0,0,LOOKUP(F36,CU4:CU32,CU5:CU33))</f>
        <v>0</v>
      </c>
      <c r="CY6" s="34">
        <v>1123</v>
      </c>
      <c r="CZ6" s="34">
        <v>21</v>
      </c>
      <c r="DA6" s="11">
        <v>1300</v>
      </c>
      <c r="DB6" s="13">
        <f>IF(DB5&lt;0,0,LOOKUP(F37,CY4:CY32,CY5:CY33))</f>
        <v>0</v>
      </c>
      <c r="DC6" s="34"/>
      <c r="DD6" s="50"/>
      <c r="DE6" s="50"/>
      <c r="DF6" s="50"/>
      <c r="DG6" s="50"/>
      <c r="DH6" s="34"/>
      <c r="DI6" s="34"/>
      <c r="DJ6" s="34"/>
      <c r="DK6" s="34"/>
    </row>
    <row r="7" spans="1:116" ht="12.5" customHeight="1" x14ac:dyDescent="0.35">
      <c r="A7" s="2"/>
      <c r="B7" s="76" t="s">
        <v>32</v>
      </c>
      <c r="C7" s="29"/>
      <c r="D7" s="28" t="str">
        <f>IF(R5&gt;=0,R9,"")</f>
        <v/>
      </c>
      <c r="E7" s="20" t="str">
        <f>IF(R5=1,"Feil i resultat?",IF(R9=R10,"","Inkonsistent."))</f>
        <v/>
      </c>
      <c r="F7" s="3">
        <f>C7/100</f>
        <v>0</v>
      </c>
      <c r="G7" s="35">
        <v>6.6030000000000006</v>
      </c>
      <c r="H7" s="35">
        <f>G7-G6</f>
        <v>0.11300000000000043</v>
      </c>
      <c r="I7" s="11">
        <v>1250</v>
      </c>
      <c r="J7" s="13">
        <f>IF(J6&gt;0,LOOKUP(F4,G4:G32,H5:H33),0)</f>
        <v>0</v>
      </c>
      <c r="K7" s="13">
        <f>K6+L7</f>
        <v>10.302000000000001</v>
      </c>
      <c r="L7" s="13">
        <v>0.17199999999999999</v>
      </c>
      <c r="M7" s="11">
        <v>1250</v>
      </c>
      <c r="N7" s="13">
        <f>IF(N6&gt;0,LOOKUP(F5,K4:K32,L5:L33),0)</f>
        <v>0</v>
      </c>
      <c r="O7" s="13">
        <f t="shared" ref="O7:O32" si="0">O6+P7</f>
        <v>20.759999999999998</v>
      </c>
      <c r="P7" s="13">
        <v>0.36</v>
      </c>
      <c r="Q7" s="11">
        <v>1250</v>
      </c>
      <c r="R7" s="11">
        <f>IF(R6&gt;0,LOOKUP(F7,O4:O32,P5:P33),0)</f>
        <v>0</v>
      </c>
      <c r="S7" s="13">
        <f>S6+T7</f>
        <v>46.416000000000004</v>
      </c>
      <c r="T7" s="13">
        <v>0.81599999999999995</v>
      </c>
      <c r="U7" s="11">
        <v>1250</v>
      </c>
      <c r="V7" s="13">
        <f>IF(V6&gt;0,LOOKUP(F9,S4:S32,T5:T33),0)</f>
        <v>0</v>
      </c>
      <c r="W7" s="13">
        <f t="shared" ref="W7:W32" si="1">W6+X7</f>
        <v>110</v>
      </c>
      <c r="X7" s="13">
        <v>1.8</v>
      </c>
      <c r="Y7" s="11">
        <v>1250</v>
      </c>
      <c r="Z7" s="13">
        <f>IF(Z6&gt;0,LOOKUP(F11,W4:W32,X5:X33),0)</f>
        <v>0</v>
      </c>
      <c r="AA7" s="13">
        <f t="shared" ref="AA7:AA32" si="2">AA6+AB7</f>
        <v>223.74</v>
      </c>
      <c r="AB7" s="13">
        <v>3.74</v>
      </c>
      <c r="AC7" s="11">
        <v>1250</v>
      </c>
      <c r="AD7" s="13" t="str">
        <f>IF(AD6&gt;0,LOOKUP(F12,AA4:AA32,AB5:AB33),"")</f>
        <v/>
      </c>
      <c r="AE7" s="13">
        <f t="shared" ref="AE7:AE32" si="3">AE6+AF7</f>
        <v>479.1</v>
      </c>
      <c r="AF7" s="13">
        <v>8.1</v>
      </c>
      <c r="AG7" s="11">
        <v>1250</v>
      </c>
      <c r="AH7" s="13" t="str">
        <f>IF(AH6&gt;0,LOOKUP(F13,AE4:AE32,AF5:AF33),"")</f>
        <v/>
      </c>
      <c r="AI7" s="13">
        <f t="shared" ref="AI7:AI32" si="4">AI6+AJ7</f>
        <v>826.3</v>
      </c>
      <c r="AJ7" s="13">
        <v>14.3</v>
      </c>
      <c r="AK7" s="11">
        <v>1250</v>
      </c>
      <c r="AL7" s="13" t="str">
        <f>IF(AL6&gt;0,LOOKUP(F14,AI4:AI32,AJ5:AJ33),"")</f>
        <v/>
      </c>
      <c r="AM7" s="13">
        <f t="shared" ref="AM7:AM32" si="5">AM6+AN7</f>
        <v>1724.47</v>
      </c>
      <c r="AN7" s="13">
        <v>31.47</v>
      </c>
      <c r="AO7" s="11">
        <v>1250</v>
      </c>
      <c r="AP7" s="13">
        <f>IF(AP6&gt;0,LOOKUP(F15,AM4:AM32,AN5:AN33),0)</f>
        <v>0</v>
      </c>
      <c r="AQ7" s="53">
        <v>7.2360000000000007</v>
      </c>
      <c r="AR7" s="35">
        <f>AQ7-AQ6</f>
        <v>0.12600000000000033</v>
      </c>
      <c r="AS7" s="11">
        <v>1250</v>
      </c>
      <c r="AT7" s="13">
        <f>IF(AT6&gt;0,LOOKUP(F17,AQ4:AQ32,AR5:AR33),0)</f>
        <v>0</v>
      </c>
      <c r="AU7" s="13">
        <f>AU6+AV7</f>
        <v>11.668000000000001</v>
      </c>
      <c r="AV7" s="13">
        <v>0.20799999999999999</v>
      </c>
      <c r="AW7" s="11">
        <v>1250</v>
      </c>
      <c r="AX7" s="13">
        <f>IF(AX6&gt;0,LOOKUP(F18,AU4:AU32,AV5:AV33),0)</f>
        <v>0</v>
      </c>
      <c r="AY7" s="51">
        <f t="shared" ref="AY7:AY32" si="6">AY6+AZ7</f>
        <v>50</v>
      </c>
      <c r="AZ7" s="13">
        <v>0.9</v>
      </c>
      <c r="BA7" s="11">
        <v>1250</v>
      </c>
      <c r="BB7" s="13">
        <f>IF(BB6&gt;0,LOOKUP(F20,AY4:AY32,AZ5:AZ33),0)</f>
        <v>0</v>
      </c>
      <c r="BC7" s="13">
        <f t="shared" ref="BC7:BC32" si="7">BC6+BD7</f>
        <v>516.38</v>
      </c>
      <c r="BD7" s="13">
        <v>9.3800000000000008</v>
      </c>
      <c r="BE7" s="11">
        <v>1250</v>
      </c>
      <c r="BF7" s="13">
        <f>IF(BF6&gt;0,LOOKUP(F22,BC4:BC32,BD5:BD33),0)</f>
        <v>0</v>
      </c>
      <c r="BG7" s="13">
        <f>BG6+BH6</f>
        <v>1.0169999999999999</v>
      </c>
      <c r="BH7" s="13">
        <v>3.2000000000000001E-2</v>
      </c>
      <c r="BI7" s="11">
        <v>50</v>
      </c>
      <c r="BJ7" s="13">
        <f>IF(BJ6&gt;0,LOOKUP(F24,BG4:BG32,BH4:BH32),0)</f>
        <v>0</v>
      </c>
      <c r="BK7" s="13">
        <f t="shared" ref="BK7:BK32" si="8">BK6+BL6</f>
        <v>0.877</v>
      </c>
      <c r="BL7" s="13">
        <v>2.3E-2</v>
      </c>
      <c r="BM7" s="11">
        <v>50</v>
      </c>
      <c r="BN7" s="13">
        <f>IF(BN6&gt;0,LOOKUP(F25,BK4:BK32,BL4:BL32),0)</f>
        <v>0</v>
      </c>
      <c r="BO7" s="13">
        <f>BO6+BP6</f>
        <v>1.135</v>
      </c>
      <c r="BP7" s="13">
        <v>6.5000000000000002E-2</v>
      </c>
      <c r="BQ7" s="11">
        <v>50</v>
      </c>
      <c r="BR7" s="13">
        <f>IF(BR6&gt;0,LOOKUP(F26,BO4:BO32,BP4:BP32),0)</f>
        <v>0</v>
      </c>
      <c r="BS7" s="13">
        <f t="shared" ref="BS7:BS32" si="9">BS6+BT6</f>
        <v>2.8790000000000004</v>
      </c>
      <c r="BT7" s="13">
        <v>0.14000000000000001</v>
      </c>
      <c r="BU7" s="11">
        <v>50</v>
      </c>
      <c r="BV7" s="13">
        <f>IF(BV6&gt;0,LOOKUP(F27,BS4:BS32,BT4:BT32),0)</f>
        <v>0</v>
      </c>
      <c r="BW7" s="13">
        <f t="shared" ref="BW7:BW32" si="10">BW6+BX6</f>
        <v>1.8179999999999998</v>
      </c>
      <c r="BX7" s="13">
        <v>4.2000000000000003E-2</v>
      </c>
      <c r="BY7" s="11">
        <v>50</v>
      </c>
      <c r="BZ7" s="13">
        <f>IF(BZ6&gt;0,LOOKUP(F28,BW4:BW32,BX4:BX32),0)</f>
        <v>0</v>
      </c>
      <c r="CA7" s="13">
        <f t="shared" ref="CA7:CA32" si="11">CA6+CB6</f>
        <v>6.0879999999999992</v>
      </c>
      <c r="CB7" s="13">
        <v>0.29699999999999999</v>
      </c>
      <c r="CC7" s="11">
        <v>50</v>
      </c>
      <c r="CD7" s="13">
        <f>IF(CD6&gt;0,LOOKUP(F29,CA4:CA32,CB4:CB32),0)</f>
        <v>0</v>
      </c>
      <c r="CE7" s="13">
        <f t="shared" ref="CE7:CE32" si="12">CE6+CF6</f>
        <v>4.1480000000000006</v>
      </c>
      <c r="CF7" s="13">
        <v>0.44</v>
      </c>
      <c r="CG7" s="23">
        <v>50</v>
      </c>
      <c r="CH7" s="13">
        <f>IF(CH6&gt;0,LOOKUP(F31,CE4:CE32,CF4:CF32),0)</f>
        <v>0</v>
      </c>
      <c r="CI7" s="13">
        <f t="shared" ref="CI7:CI32" si="13">CI6+CJ6</f>
        <v>12.2</v>
      </c>
      <c r="CJ7" s="13">
        <v>0.7</v>
      </c>
      <c r="CK7" s="23">
        <v>50</v>
      </c>
      <c r="CL7" s="13">
        <f>IF(CL6&gt;0,LOOKUP(F32,CI4:CI32,CJ4:CJ32),0)</f>
        <v>0</v>
      </c>
      <c r="CM7" s="13">
        <f t="shared" ref="CM7:CM32" si="14">CM6+CN6</f>
        <v>8.68</v>
      </c>
      <c r="CN7" s="13">
        <v>1.3</v>
      </c>
      <c r="CO7" s="23">
        <v>50</v>
      </c>
      <c r="CP7" s="13">
        <f>IF(CP6&gt;0,LOOKUP(F33,CM4:CM32,CN4:CN32),0)</f>
        <v>0</v>
      </c>
      <c r="CQ7" s="13">
        <f t="shared" ref="CQ7:CQ32" si="15">CQ6+CR6</f>
        <v>12.47</v>
      </c>
      <c r="CR7" s="13">
        <v>0.68</v>
      </c>
      <c r="CS7" s="23">
        <v>50</v>
      </c>
      <c r="CT7" s="13">
        <f>IF(CT6&gt;0,LOOKUP(F34,CQ4:CQ32,CR4:CR32),0)</f>
        <v>0</v>
      </c>
      <c r="CU7" s="34">
        <v>659</v>
      </c>
      <c r="CV7" s="34">
        <v>12</v>
      </c>
      <c r="CW7" s="11">
        <v>1250</v>
      </c>
      <c r="CX7" s="13">
        <f>IF(CX6&gt;0,LOOKUP(F36,CU4:CU32,CV5:CV33),0)</f>
        <v>0</v>
      </c>
      <c r="CY7" s="34">
        <v>1144</v>
      </c>
      <c r="CZ7" s="34">
        <v>21</v>
      </c>
      <c r="DA7" s="11">
        <v>1250</v>
      </c>
      <c r="DB7" s="13">
        <f>IF(DB6&gt;0,LOOKUP(F37,CY4:CY32,CZ5:CZ33),0)</f>
        <v>0</v>
      </c>
      <c r="DC7" s="34"/>
      <c r="DD7" s="50"/>
      <c r="DE7" s="66" t="s">
        <v>61</v>
      </c>
      <c r="DF7" s="67"/>
      <c r="DG7" s="67"/>
      <c r="DH7" s="34"/>
      <c r="DI7" s="34"/>
      <c r="DJ7" s="34"/>
      <c r="DK7" s="34"/>
    </row>
    <row r="8" spans="1:116" ht="12.5" customHeight="1" x14ac:dyDescent="0.35">
      <c r="A8" s="2"/>
      <c r="B8" s="76" t="s">
        <v>33</v>
      </c>
      <c r="C8" s="60"/>
      <c r="D8" s="28" t="str">
        <f>IF(R12&gt;=0,R17,"")</f>
        <v/>
      </c>
      <c r="E8" s="20" t="str">
        <f>IF(R12=1,"Feil i resultat?",IF(R17=R18,"","Inkonsistent."))</f>
        <v/>
      </c>
      <c r="F8" s="21">
        <f>C8/10</f>
        <v>0</v>
      </c>
      <c r="G8" s="35">
        <v>6.7190000000000003</v>
      </c>
      <c r="H8" s="35">
        <f t="shared" ref="H8:H32" si="16">G8-G7</f>
        <v>0.11599999999999966</v>
      </c>
      <c r="I8" s="11">
        <v>1200</v>
      </c>
      <c r="J8" s="11">
        <f>IF(J6&gt;0,LOOKUP(F4,G4:G32,I5:I33),0)</f>
        <v>0</v>
      </c>
      <c r="K8" s="13">
        <f t="shared" ref="K8:K32" si="17">K7+L8</f>
        <v>10.482000000000001</v>
      </c>
      <c r="L8" s="13">
        <v>0.18</v>
      </c>
      <c r="M8" s="11">
        <v>1200</v>
      </c>
      <c r="N8" s="11">
        <f>IF(N6&gt;0,LOOKUP(F5,K4:K32,M5:M33),0)</f>
        <v>0</v>
      </c>
      <c r="O8" s="13">
        <f t="shared" si="0"/>
        <v>21.140999999999998</v>
      </c>
      <c r="P8" s="13">
        <v>0.38100000000000001</v>
      </c>
      <c r="Q8" s="11">
        <v>1200</v>
      </c>
      <c r="R8" s="11">
        <f>IF(R6&gt;0,LOOKUP(F7,O4:O32,Q5:Q33),0)</f>
        <v>0</v>
      </c>
      <c r="S8" s="13">
        <f t="shared" ref="S8:S32" si="18">S7+T8</f>
        <v>47.284000000000006</v>
      </c>
      <c r="T8" s="13">
        <v>0.86799999999999999</v>
      </c>
      <c r="U8" s="11">
        <v>1200</v>
      </c>
      <c r="V8" s="23">
        <f>IF(V6&gt;0,LOOKUP(F9,S4:S32,U5:U33),0)</f>
        <v>0</v>
      </c>
      <c r="W8" s="13">
        <f t="shared" si="1"/>
        <v>111.8</v>
      </c>
      <c r="X8" s="13">
        <v>1.8</v>
      </c>
      <c r="Y8" s="11">
        <v>1200</v>
      </c>
      <c r="Z8" s="23">
        <f>IF(Z6&gt;0,LOOKUP(F11,W4:W32,Y5:Y33),0)</f>
        <v>0</v>
      </c>
      <c r="AA8" s="13">
        <f t="shared" si="2"/>
        <v>227.55</v>
      </c>
      <c r="AB8" s="13">
        <v>3.81</v>
      </c>
      <c r="AC8" s="11">
        <v>1200</v>
      </c>
      <c r="AD8" s="23">
        <f>IF(AD6&gt;0,LOOKUP(F12,AA4:AA32,AC5:AC33),0)</f>
        <v>0</v>
      </c>
      <c r="AE8" s="13">
        <f t="shared" si="3"/>
        <v>487.40000000000003</v>
      </c>
      <c r="AF8" s="13">
        <v>8.3000000000000007</v>
      </c>
      <c r="AG8" s="11">
        <v>1200</v>
      </c>
      <c r="AH8" s="23">
        <f>IF(AH6&gt;0,LOOKUP(F13,AE4:AE32,AG5:AG33),0)</f>
        <v>0</v>
      </c>
      <c r="AI8" s="13">
        <f t="shared" si="4"/>
        <v>841.09999999999991</v>
      </c>
      <c r="AJ8" s="13">
        <v>14.8</v>
      </c>
      <c r="AK8" s="11">
        <v>1200</v>
      </c>
      <c r="AL8" s="23">
        <f>IF(AL6&gt;0,LOOKUP(F14,AI4:AI32,AK5:AK33),0)</f>
        <v>0</v>
      </c>
      <c r="AM8" s="13">
        <f t="shared" si="5"/>
        <v>1757.05</v>
      </c>
      <c r="AN8" s="13">
        <v>32.58</v>
      </c>
      <c r="AO8" s="11">
        <v>1200</v>
      </c>
      <c r="AP8" s="23">
        <f>IF(AP6&gt;0,LOOKUP(F15,AM4:AM32,AO5:AO33),0)</f>
        <v>0</v>
      </c>
      <c r="AQ8" s="53">
        <v>7.3720000000000008</v>
      </c>
      <c r="AR8" s="35">
        <f>AQ8-AQ7</f>
        <v>0.13600000000000012</v>
      </c>
      <c r="AS8" s="11">
        <v>1200</v>
      </c>
      <c r="AT8" s="23">
        <f>IF(AT6&gt;0,LOOKUP(F17,AQ4:AQ32,AS5:AS33),0)</f>
        <v>0</v>
      </c>
      <c r="AU8" s="13">
        <f t="shared" ref="AU8:AU32" si="19">AU7+AV8</f>
        <v>11.894000000000002</v>
      </c>
      <c r="AV8" s="13">
        <v>0.22600000000000001</v>
      </c>
      <c r="AW8" s="11">
        <v>1200</v>
      </c>
      <c r="AX8" s="23">
        <f>IF(AX6&gt;0,LOOKUP(F18,AU4:AU32,AW5:AW33),0)</f>
        <v>0</v>
      </c>
      <c r="AY8" s="51">
        <f t="shared" si="6"/>
        <v>50.948</v>
      </c>
      <c r="AZ8" s="13">
        <v>0.94799999999999995</v>
      </c>
      <c r="BA8" s="11">
        <v>1200</v>
      </c>
      <c r="BB8" s="23">
        <f>IF(BB6&gt;0,LOOKUP(F20,AY4:AY32,BA5:BA33),0)</f>
        <v>0</v>
      </c>
      <c r="BC8" s="13">
        <f t="shared" si="7"/>
        <v>526.02</v>
      </c>
      <c r="BD8" s="13">
        <v>9.64</v>
      </c>
      <c r="BE8" s="11">
        <v>1200</v>
      </c>
      <c r="BF8" s="23">
        <f>IF(BF6&gt;0,LOOKUP(F22,BC4:BC32,BE5:BE33),0)</f>
        <v>0</v>
      </c>
      <c r="BG8" s="13">
        <f t="shared" ref="BG8:BG32" si="20">BG7+BH7</f>
        <v>1.0489999999999999</v>
      </c>
      <c r="BH8" s="13">
        <v>3.4000000000000002E-2</v>
      </c>
      <c r="BI8" s="11">
        <v>100</v>
      </c>
      <c r="BJ8" s="11">
        <f>IF(BJ6&gt;0,LOOKUP(F24,BG4:BG32,BI4:BI32),0)</f>
        <v>0</v>
      </c>
      <c r="BK8" s="13">
        <f t="shared" si="8"/>
        <v>0.9</v>
      </c>
      <c r="BL8" s="13">
        <v>2.5000000000000001E-2</v>
      </c>
      <c r="BM8" s="11">
        <v>100</v>
      </c>
      <c r="BN8" s="11">
        <f>IF(BN6&gt;0,LOOKUP(F25,BK4:BK32,BM4:BM32),0)</f>
        <v>0</v>
      </c>
      <c r="BO8" s="13">
        <f t="shared" ref="BO8:BO32" si="21">BO7+BP7</f>
        <v>1.2</v>
      </c>
      <c r="BP8" s="13">
        <v>0.08</v>
      </c>
      <c r="BQ8" s="11">
        <v>100</v>
      </c>
      <c r="BR8" s="11">
        <f>IF(BR6&gt;0,LOOKUP(F26,BO4:BO32,BQ4:BQ32),0)</f>
        <v>0</v>
      </c>
      <c r="BS8" s="13">
        <f t="shared" si="9"/>
        <v>3.0190000000000006</v>
      </c>
      <c r="BT8" s="13">
        <v>0.14899999999999999</v>
      </c>
      <c r="BU8" s="11">
        <v>100</v>
      </c>
      <c r="BV8" s="11">
        <f>IF(BV6&gt;0,LOOKUP(F27,BS4:BS32,BU4:BU32),0)</f>
        <v>0</v>
      </c>
      <c r="BW8" s="13">
        <f t="shared" si="10"/>
        <v>1.8599999999999999</v>
      </c>
      <c r="BX8" s="13">
        <v>4.4999999999999998E-2</v>
      </c>
      <c r="BY8" s="11">
        <v>100</v>
      </c>
      <c r="BZ8" s="11">
        <f>IF(BZ6&gt;0,LOOKUP(F28,BW4:BW32,BY4:BY32),0)</f>
        <v>0</v>
      </c>
      <c r="CA8" s="13">
        <f t="shared" si="11"/>
        <v>6.3849999999999989</v>
      </c>
      <c r="CB8" s="13">
        <v>0.316</v>
      </c>
      <c r="CC8" s="11">
        <v>100</v>
      </c>
      <c r="CD8" s="11">
        <f>IF(CD6&gt;0,LOOKUP(F29,CA4:CA32,CC4:CC32),0)</f>
        <v>0</v>
      </c>
      <c r="CE8" s="13">
        <f t="shared" si="12"/>
        <v>4.588000000000001</v>
      </c>
      <c r="CF8" s="13">
        <v>0.46</v>
      </c>
      <c r="CG8" s="23">
        <v>100</v>
      </c>
      <c r="CH8" s="11">
        <f>IF(CH6&gt;0,LOOKUP(F31,CE4:CE32,CG4:CG32),0)</f>
        <v>0</v>
      </c>
      <c r="CI8" s="13">
        <f t="shared" si="13"/>
        <v>12.899999999999999</v>
      </c>
      <c r="CJ8" s="13">
        <v>0.8</v>
      </c>
      <c r="CK8" s="23">
        <v>100</v>
      </c>
      <c r="CL8" s="11">
        <f>IF(CL6&gt;0,LOOKUP(F32,CI4:CI32,CK4:CK32),0)</f>
        <v>0</v>
      </c>
      <c r="CM8" s="13">
        <f t="shared" si="14"/>
        <v>9.98</v>
      </c>
      <c r="CN8" s="13">
        <v>1.5</v>
      </c>
      <c r="CO8" s="23">
        <v>100</v>
      </c>
      <c r="CP8" s="11">
        <f>IF(CP6&gt;0,LOOKUP(F33,CM4:CM32,CO4:CO32),0)</f>
        <v>0</v>
      </c>
      <c r="CQ8" s="13">
        <f t="shared" si="15"/>
        <v>13.15</v>
      </c>
      <c r="CR8" s="13">
        <v>0.9</v>
      </c>
      <c r="CS8" s="23">
        <v>100</v>
      </c>
      <c r="CT8" s="11">
        <f>IF(CT6&gt;0,LOOKUP(F34,CQ4:CQ32,CS4:CS32),0)</f>
        <v>0</v>
      </c>
      <c r="CU8" s="34">
        <v>672</v>
      </c>
      <c r="CV8" s="34">
        <v>13</v>
      </c>
      <c r="CW8" s="11">
        <v>1200</v>
      </c>
      <c r="CX8" s="23">
        <f>IF(CX6&gt;0,LOOKUP(F36,CU4:CU32,CW5:CW33),0)</f>
        <v>0</v>
      </c>
      <c r="CY8" s="34">
        <v>1165</v>
      </c>
      <c r="CZ8" s="34">
        <v>21</v>
      </c>
      <c r="DA8" s="11">
        <v>1200</v>
      </c>
      <c r="DB8" s="23">
        <f>IF(DB6&gt;0,LOOKUP(F37,CY4:CY32,DA5:DA33),0)</f>
        <v>0</v>
      </c>
      <c r="DC8" s="34"/>
      <c r="DD8" s="50"/>
      <c r="DE8" s="50"/>
      <c r="DF8" s="50"/>
      <c r="DG8" s="50"/>
      <c r="DH8" s="34"/>
      <c r="DI8" s="34"/>
      <c r="DJ8" s="34"/>
      <c r="DK8" s="34"/>
    </row>
    <row r="9" spans="1:116" ht="12.5" customHeight="1" x14ac:dyDescent="0.35">
      <c r="A9" s="2"/>
      <c r="B9" s="76" t="s">
        <v>34</v>
      </c>
      <c r="C9" s="29"/>
      <c r="D9" s="28" t="str">
        <f>IF(V5&gt;=0,V9,"")</f>
        <v/>
      </c>
      <c r="E9" s="20" t="str">
        <f>IF(V5=1,"Feil i resultat?",IF(V9=V10,"","Inkonsistent."))</f>
        <v/>
      </c>
      <c r="F9" s="3">
        <f>INT(C9/10000)*60+(C9-INT(C9/10000)*10000)/100</f>
        <v>0</v>
      </c>
      <c r="G9" s="35">
        <v>6.8390000000000004</v>
      </c>
      <c r="H9" s="35">
        <f t="shared" si="16"/>
        <v>0.12000000000000011</v>
      </c>
      <c r="I9" s="11">
        <v>1150</v>
      </c>
      <c r="J9" s="14">
        <f>IF(J6&gt;0,INT(J8+(J6-F4)*(50/J7)+F38),0)</f>
        <v>0</v>
      </c>
      <c r="K9" s="13">
        <f t="shared" si="17"/>
        <v>10.672000000000001</v>
      </c>
      <c r="L9" s="13">
        <v>0.19</v>
      </c>
      <c r="M9" s="11">
        <v>1150</v>
      </c>
      <c r="N9" s="14">
        <f>IF(N6&gt;0,INT(N8+(N6-F5)*(50/N7)+F38),0)</f>
        <v>0</v>
      </c>
      <c r="O9" s="13">
        <f t="shared" si="0"/>
        <v>21.542999999999999</v>
      </c>
      <c r="P9" s="13">
        <v>0.40200000000000002</v>
      </c>
      <c r="Q9" s="11">
        <v>1150</v>
      </c>
      <c r="R9" s="14">
        <f>IF(R6&gt;0,INT(R8+(R6-F7)*(50/R7)+F38),0)</f>
        <v>0</v>
      </c>
      <c r="S9" s="13">
        <f t="shared" si="18"/>
        <v>48.212000000000003</v>
      </c>
      <c r="T9" s="13">
        <v>0.92800000000000005</v>
      </c>
      <c r="U9" s="11">
        <v>1150</v>
      </c>
      <c r="V9" s="17">
        <f>IF(V6&gt;0,INT(V8+(V6-F9)*(50/V7)+F38),0)</f>
        <v>0</v>
      </c>
      <c r="W9" s="13">
        <f t="shared" si="1"/>
        <v>113.61999999999999</v>
      </c>
      <c r="X9" s="13">
        <v>1.82</v>
      </c>
      <c r="Y9" s="11">
        <v>1150</v>
      </c>
      <c r="Z9" s="17">
        <f>IF(Z6&gt;0,INT(Z8+(Z6-F11)*(50/Z7)+F38),0)</f>
        <v>0</v>
      </c>
      <c r="AA9" s="13">
        <f t="shared" si="2"/>
        <v>231.49</v>
      </c>
      <c r="AB9" s="13">
        <v>3.94</v>
      </c>
      <c r="AC9" s="11">
        <v>1150</v>
      </c>
      <c r="AD9" s="17">
        <f>IF(AD6&gt;0,INT(AD8+(AD6-F12)*(50/AD7)+F38),0)</f>
        <v>0</v>
      </c>
      <c r="AE9" s="13">
        <f t="shared" si="3"/>
        <v>496.00000000000006</v>
      </c>
      <c r="AF9" s="13">
        <v>8.6</v>
      </c>
      <c r="AG9" s="11">
        <v>1150</v>
      </c>
      <c r="AH9" s="17">
        <f>IF(AH6&gt;0,INT(AH8+(AH6-F13)*(50/AH7)+F38),0)</f>
        <v>0</v>
      </c>
      <c r="AI9" s="13">
        <f t="shared" si="4"/>
        <v>856.59999999999991</v>
      </c>
      <c r="AJ9" s="13">
        <v>15.5</v>
      </c>
      <c r="AK9" s="11">
        <v>1150</v>
      </c>
      <c r="AL9" s="17">
        <f>IF(AL6&gt;0,INT(AL8+(AL6-F14)*(50/AL7)+F38),0)</f>
        <v>0</v>
      </c>
      <c r="AM9" s="13">
        <f t="shared" si="5"/>
        <v>1791.18</v>
      </c>
      <c r="AN9" s="13">
        <v>34.130000000000003</v>
      </c>
      <c r="AO9" s="11">
        <v>1150</v>
      </c>
      <c r="AP9" s="17">
        <f>IF(AP6&gt;0,INT(AP8+(AP6-F15)*(50/AP7)+F38),0)</f>
        <v>0</v>
      </c>
      <c r="AQ9" s="53">
        <v>7.519000000000001</v>
      </c>
      <c r="AR9" s="35">
        <f t="shared" ref="AR9:AR32" si="22">AQ9-AQ8</f>
        <v>0.14700000000000024</v>
      </c>
      <c r="AS9" s="11">
        <v>1150</v>
      </c>
      <c r="AT9" s="17">
        <f>IF(AT6&gt;0,INT(AT8+(AT6-F17)*(50/AT7)+F38),0)</f>
        <v>0</v>
      </c>
      <c r="AU9" s="13">
        <f t="shared" si="19"/>
        <v>12.141000000000002</v>
      </c>
      <c r="AV9" s="13">
        <v>0.247</v>
      </c>
      <c r="AW9" s="11">
        <v>1150</v>
      </c>
      <c r="AX9" s="17">
        <f>IF(AX6&gt;0,INT(AX8+(AX6-F18)*(50/AX7)+F38),0)</f>
        <v>0</v>
      </c>
      <c r="AY9" s="51">
        <f t="shared" si="6"/>
        <v>51.963000000000001</v>
      </c>
      <c r="AZ9" s="13">
        <v>1.0149999999999999</v>
      </c>
      <c r="BA9" s="11">
        <v>1150</v>
      </c>
      <c r="BB9" s="17">
        <f>IF(BB6&gt;0,INT(BB8+(BB6-F20)*(50/BB7)+F38),0)</f>
        <v>0</v>
      </c>
      <c r="BC9" s="13">
        <f t="shared" si="7"/>
        <v>536.05999999999995</v>
      </c>
      <c r="BD9" s="13">
        <v>10.039999999999999</v>
      </c>
      <c r="BE9" s="11">
        <v>1150</v>
      </c>
      <c r="BF9" s="17">
        <f>IF(BF6&gt;0,INT(BF8+(BF6-F22)*(50/BF7)+F38),0)</f>
        <v>0</v>
      </c>
      <c r="BG9" s="13">
        <f t="shared" si="20"/>
        <v>1.083</v>
      </c>
      <c r="BH9" s="13">
        <v>3.5999999999999997E-2</v>
      </c>
      <c r="BI9" s="11">
        <v>150</v>
      </c>
      <c r="BJ9" s="14">
        <f>IF(BJ7&gt;0,INT(BJ8+(F24-BJ6)*(50/BJ7)+F38),0)</f>
        <v>0</v>
      </c>
      <c r="BK9" s="13">
        <f t="shared" si="8"/>
        <v>0.92500000000000004</v>
      </c>
      <c r="BL9" s="13">
        <v>2.7E-2</v>
      </c>
      <c r="BM9" s="11">
        <v>150</v>
      </c>
      <c r="BN9" s="14">
        <f>IF(BN6&gt;0,INT(BN8+(F25-BN6)*(50/BN7)+F38),0)</f>
        <v>0</v>
      </c>
      <c r="BO9" s="13">
        <f t="shared" si="21"/>
        <v>1.28</v>
      </c>
      <c r="BP9" s="13">
        <v>9.5000000000000001E-2</v>
      </c>
      <c r="BQ9" s="11">
        <v>150</v>
      </c>
      <c r="BR9" s="14">
        <f>IF(BR7&gt;0,INT(BR8+(F26-BR6)*(50/BR7)+F38),0)</f>
        <v>0</v>
      </c>
      <c r="BS9" s="13">
        <f t="shared" si="9"/>
        <v>3.1680000000000006</v>
      </c>
      <c r="BT9" s="13">
        <v>0.158</v>
      </c>
      <c r="BU9" s="11">
        <v>150</v>
      </c>
      <c r="BV9" s="14">
        <f>IF(BV7&gt;0,INT(BV8+(F27-BV6)*(50/BV7)+F38),0)</f>
        <v>0</v>
      </c>
      <c r="BW9" s="13">
        <f t="shared" si="10"/>
        <v>1.9049999999999998</v>
      </c>
      <c r="BX9" s="13">
        <v>4.8000000000000001E-2</v>
      </c>
      <c r="BY9" s="11">
        <v>150</v>
      </c>
      <c r="BZ9" s="14">
        <f>IF(BZ7&gt;0,INT(BZ8+(F28-BZ6)*(50/BZ7)+F38),0)</f>
        <v>0</v>
      </c>
      <c r="CA9" s="13">
        <f t="shared" si="11"/>
        <v>6.7009999999999987</v>
      </c>
      <c r="CB9" s="13">
        <v>0.33500000000000002</v>
      </c>
      <c r="CC9" s="11">
        <v>150</v>
      </c>
      <c r="CD9" s="14">
        <f>IF(CD7&gt;0,INT(CD8+(F29-CD6)*(50/CD7)+F38),0)</f>
        <v>0</v>
      </c>
      <c r="CE9" s="13">
        <f t="shared" si="12"/>
        <v>5.0480000000000009</v>
      </c>
      <c r="CF9" s="13">
        <v>0.48</v>
      </c>
      <c r="CG9" s="23">
        <v>150</v>
      </c>
      <c r="CH9" s="14">
        <f>IF(CH7&gt;0,INT(CH8+(F31-CH6)*(50/CH7)+F38),0)</f>
        <v>0</v>
      </c>
      <c r="CI9" s="13">
        <f t="shared" si="13"/>
        <v>13.7</v>
      </c>
      <c r="CJ9" s="13">
        <v>0.95</v>
      </c>
      <c r="CK9" s="23">
        <v>150</v>
      </c>
      <c r="CL9" s="14">
        <f>IF(CL7&gt;0,INT(CL8+(F32-CL6)*(50/CL7)+F38),0)</f>
        <v>0</v>
      </c>
      <c r="CM9" s="13">
        <f t="shared" si="14"/>
        <v>11.48</v>
      </c>
      <c r="CN9" s="13">
        <v>1.7</v>
      </c>
      <c r="CO9" s="23">
        <v>150</v>
      </c>
      <c r="CP9" s="14">
        <f>IF(CP7&gt;0,INT(CP8+(F33-CP6)*(50/CP7)+F38),0)</f>
        <v>0</v>
      </c>
      <c r="CQ9" s="13">
        <f t="shared" si="15"/>
        <v>14.05</v>
      </c>
      <c r="CR9" s="13">
        <v>1.1200000000000001</v>
      </c>
      <c r="CS9" s="23">
        <v>150</v>
      </c>
      <c r="CT9" s="14">
        <f>IF(CT7&gt;0,INT(CT8+(F34-CT6)*(50/CT7)+F38),0)</f>
        <v>0</v>
      </c>
      <c r="CU9" s="34">
        <v>684</v>
      </c>
      <c r="CV9" s="34">
        <v>12</v>
      </c>
      <c r="CW9" s="11">
        <v>1150</v>
      </c>
      <c r="CX9" s="17">
        <f>IF(CX6&gt;0,INT(CX8+(CX6-F36)*(50/CX7)+F38),0)</f>
        <v>0</v>
      </c>
      <c r="CY9" s="34">
        <v>1188</v>
      </c>
      <c r="CZ9" s="34">
        <v>23</v>
      </c>
      <c r="DA9" s="11">
        <v>1150</v>
      </c>
      <c r="DB9" s="17">
        <f>IF(DB6&gt;0,INT(DB8+(DB6-F37)*(50/DB7)+F38),0)</f>
        <v>0</v>
      </c>
      <c r="DC9" s="34"/>
      <c r="DD9" s="50"/>
      <c r="DE9" s="50"/>
      <c r="DF9" s="50"/>
      <c r="DG9" s="50"/>
      <c r="DH9" s="34"/>
      <c r="DI9" s="34"/>
      <c r="DJ9" s="34"/>
      <c r="DK9" s="34"/>
    </row>
    <row r="10" spans="1:116" ht="12.5" customHeight="1" x14ac:dyDescent="0.35">
      <c r="A10" s="2"/>
      <c r="B10" s="76" t="s">
        <v>35</v>
      </c>
      <c r="C10" s="57"/>
      <c r="D10" s="28" t="str">
        <f>IF(V12&gt;=0,V17,"")</f>
        <v/>
      </c>
      <c r="E10" s="20" t="str">
        <f>IF(V12=1,"Feil i resultat?",IF(V17=V18,"","Inkonsistent."))</f>
        <v/>
      </c>
      <c r="F10" s="21">
        <f>INT(C10/1000)*60+(C10-INT(C10/1000)*1000)/10</f>
        <v>0</v>
      </c>
      <c r="G10" s="35">
        <v>6.9630000000000001</v>
      </c>
      <c r="H10" s="35">
        <f t="shared" si="16"/>
        <v>0.12399999999999967</v>
      </c>
      <c r="I10" s="11">
        <v>1100</v>
      </c>
      <c r="J10" s="14">
        <f>IF(J6&gt;0,INT(J8+(J6-F4)*(50/J7)),0)</f>
        <v>0</v>
      </c>
      <c r="K10" s="13">
        <f t="shared" si="17"/>
        <v>10.872</v>
      </c>
      <c r="L10" s="13">
        <v>0.2</v>
      </c>
      <c r="M10" s="11">
        <v>1100</v>
      </c>
      <c r="N10" s="14">
        <f>IF(N6&gt;0,INT(N8+(N6-F5)*(50/N7)),0)</f>
        <v>0</v>
      </c>
      <c r="O10" s="13">
        <f t="shared" si="0"/>
        <v>21.966999999999999</v>
      </c>
      <c r="P10" s="13">
        <v>0.42399999999999999</v>
      </c>
      <c r="Q10" s="11">
        <v>1100</v>
      </c>
      <c r="R10" s="14">
        <f>IF(R6&gt;0,INT(R8+(R6-F7)*(50/R7)),0)</f>
        <v>0</v>
      </c>
      <c r="S10" s="13">
        <f t="shared" si="18"/>
        <v>49.21</v>
      </c>
      <c r="T10" s="13">
        <v>0.998</v>
      </c>
      <c r="U10" s="11">
        <v>1100</v>
      </c>
      <c r="V10" s="17">
        <f>IF(V6&gt;0,INT(V8+(V6-F9)*(50/V7)),0)</f>
        <v>0</v>
      </c>
      <c r="W10" s="13">
        <f t="shared" si="1"/>
        <v>115.50999999999999</v>
      </c>
      <c r="X10" s="13">
        <v>1.89</v>
      </c>
      <c r="Y10" s="11">
        <v>1100</v>
      </c>
      <c r="Z10" s="17">
        <f>IF(Z6&gt;0,INT(Z8+(Z6-F11)*(50/Z7)),0)</f>
        <v>0</v>
      </c>
      <c r="AA10" s="13">
        <f t="shared" si="2"/>
        <v>235.67000000000002</v>
      </c>
      <c r="AB10" s="13">
        <v>4.18</v>
      </c>
      <c r="AC10" s="11">
        <v>1100</v>
      </c>
      <c r="AD10" s="17">
        <f>IF(AD6&gt;0,INT(AD8+(AD6-F12)*(50/AD7)),0)</f>
        <v>0</v>
      </c>
      <c r="AE10" s="13">
        <f t="shared" si="3"/>
        <v>505.25000000000006</v>
      </c>
      <c r="AF10" s="13">
        <v>9.25</v>
      </c>
      <c r="AG10" s="11">
        <v>1100</v>
      </c>
      <c r="AH10" s="17">
        <f>IF(AH6&gt;0,INT(AH8+(AH6-F13)*(50/AH7)),0)</f>
        <v>0</v>
      </c>
      <c r="AI10" s="13">
        <f t="shared" si="4"/>
        <v>873.39999999999986</v>
      </c>
      <c r="AJ10" s="13">
        <v>16.8</v>
      </c>
      <c r="AK10" s="11">
        <v>1100</v>
      </c>
      <c r="AL10" s="17">
        <f>IF(AL6&gt;0,INT(AL8+(AL6-F14)*(50/AL7)),0)</f>
        <v>0</v>
      </c>
      <c r="AM10" s="13">
        <f t="shared" si="5"/>
        <v>1828.18</v>
      </c>
      <c r="AN10" s="13">
        <v>37</v>
      </c>
      <c r="AO10" s="11">
        <v>1100</v>
      </c>
      <c r="AP10" s="17">
        <f>IF(AP6&gt;0,INT(AP8+(AP6-F15)*(50/AP7)),0)</f>
        <v>0</v>
      </c>
      <c r="AQ10" s="53">
        <v>7.6770000000000005</v>
      </c>
      <c r="AR10" s="35">
        <f t="shared" si="22"/>
        <v>0.15799999999999947</v>
      </c>
      <c r="AS10" s="11">
        <v>1100</v>
      </c>
      <c r="AT10" s="17">
        <f>IF(AT6&gt;0,INT(AT8+(AT6-F17)*(50/AT7)),0)</f>
        <v>0</v>
      </c>
      <c r="AU10" s="13">
        <f t="shared" si="19"/>
        <v>12.410000000000002</v>
      </c>
      <c r="AV10" s="13">
        <v>0.26900000000000002</v>
      </c>
      <c r="AW10" s="11">
        <v>1100</v>
      </c>
      <c r="AX10" s="17">
        <f>IF(AX6&gt;0,INT(AX8+(AX6-F18)*(50/AX7)),0)</f>
        <v>0</v>
      </c>
      <c r="AY10" s="51">
        <f t="shared" si="6"/>
        <v>53.058</v>
      </c>
      <c r="AZ10" s="13">
        <v>1.095</v>
      </c>
      <c r="BA10" s="11">
        <v>1100</v>
      </c>
      <c r="BB10" s="17">
        <f>IF(BB6&gt;0,INT(BB8+(BB6-F20)*(50/BB7)),0)</f>
        <v>0</v>
      </c>
      <c r="BC10" s="13">
        <f t="shared" si="7"/>
        <v>546.95999999999992</v>
      </c>
      <c r="BD10" s="13">
        <v>10.9</v>
      </c>
      <c r="BE10" s="11">
        <v>1100</v>
      </c>
      <c r="BF10" s="17">
        <f>IF(BF6&gt;0,INT(BF8+(BF6-F22)*(50/BF7)),0)</f>
        <v>0</v>
      </c>
      <c r="BG10" s="13">
        <f t="shared" si="20"/>
        <v>1.119</v>
      </c>
      <c r="BH10" s="13">
        <v>3.7999999999999999E-2</v>
      </c>
      <c r="BI10" s="11">
        <v>200</v>
      </c>
      <c r="BJ10" s="14">
        <f>IF(BJ7&gt;0,INT(BJ8+(F24-BJ6)*(50/BJ7)),0)</f>
        <v>0</v>
      </c>
      <c r="BK10" s="13">
        <f t="shared" si="8"/>
        <v>0.95200000000000007</v>
      </c>
      <c r="BL10" s="13">
        <v>2.9000000000000001E-2</v>
      </c>
      <c r="BM10" s="11">
        <v>200</v>
      </c>
      <c r="BN10" s="14">
        <f>IF(BN6&gt;0,INT(BN8+(F25-BN6)*(50/BN7)),0)</f>
        <v>0</v>
      </c>
      <c r="BO10" s="13">
        <f t="shared" si="21"/>
        <v>1.375</v>
      </c>
      <c r="BP10" s="13">
        <v>0.11</v>
      </c>
      <c r="BQ10" s="11">
        <v>200</v>
      </c>
      <c r="BR10" s="14">
        <f>IF(BR7&gt;0,INT(BR8+(F26-BR6)*(50/BR7)),0)</f>
        <v>0</v>
      </c>
      <c r="BS10" s="13">
        <f t="shared" si="9"/>
        <v>3.3260000000000005</v>
      </c>
      <c r="BT10" s="13">
        <v>0.16700000000000001</v>
      </c>
      <c r="BU10" s="11">
        <v>200</v>
      </c>
      <c r="BV10" s="14">
        <f>IF(BV7&gt;0,INT(BV8+(F27-BV6)*(50/BV7)),0)</f>
        <v>0</v>
      </c>
      <c r="BW10" s="13">
        <f t="shared" si="10"/>
        <v>1.9529999999999998</v>
      </c>
      <c r="BX10" s="13">
        <v>5.0999999999999997E-2</v>
      </c>
      <c r="BY10" s="11">
        <v>200</v>
      </c>
      <c r="BZ10" s="14">
        <f>IF(BZ7&gt;0,INT(BZ8+(F28-BZ6)*(50/BZ7)),0)</f>
        <v>0</v>
      </c>
      <c r="CA10" s="13">
        <f t="shared" si="11"/>
        <v>7.0359999999999987</v>
      </c>
      <c r="CB10" s="13">
        <v>0.35399999999999998</v>
      </c>
      <c r="CC10" s="11">
        <v>200</v>
      </c>
      <c r="CD10" s="14">
        <f>IF(CD7&gt;0,INT(CD8+(F29-CD6)*(50/CD7)),0)</f>
        <v>0</v>
      </c>
      <c r="CE10" s="13">
        <f t="shared" si="12"/>
        <v>5.5280000000000005</v>
      </c>
      <c r="CF10" s="13">
        <v>0.5</v>
      </c>
      <c r="CG10" s="23">
        <v>200</v>
      </c>
      <c r="CH10" s="14">
        <f>IF(CH7&gt;0,INT(CH8+(F31-CH6)*(50/CH7)),0)</f>
        <v>0</v>
      </c>
      <c r="CI10" s="13">
        <f t="shared" si="13"/>
        <v>14.649999999999999</v>
      </c>
      <c r="CJ10" s="13">
        <v>1.1000000000000001</v>
      </c>
      <c r="CK10" s="23">
        <v>200</v>
      </c>
      <c r="CL10" s="14">
        <f>IF(CL7&gt;0,INT(CL8+(F32-CL6)*(50/CL7)),0)</f>
        <v>0</v>
      </c>
      <c r="CM10" s="13">
        <f t="shared" si="14"/>
        <v>13.18</v>
      </c>
      <c r="CN10" s="13">
        <v>1.9</v>
      </c>
      <c r="CO10" s="23">
        <v>200</v>
      </c>
      <c r="CP10" s="14">
        <f>IF(CP7&gt;0,INT(CP8+(F33-CP6)*(50/CP7)),0)</f>
        <v>0</v>
      </c>
      <c r="CQ10" s="13">
        <f t="shared" si="15"/>
        <v>15.170000000000002</v>
      </c>
      <c r="CR10" s="13">
        <v>1.34</v>
      </c>
      <c r="CS10" s="23">
        <v>200</v>
      </c>
      <c r="CT10" s="14">
        <f>IF(CT7&gt;0,INT(CT8+(F34-CT6)*(50/CT7)),0)</f>
        <v>0</v>
      </c>
      <c r="CU10" s="34">
        <v>698</v>
      </c>
      <c r="CV10" s="34">
        <v>14</v>
      </c>
      <c r="CW10" s="11">
        <v>1100</v>
      </c>
      <c r="CX10" s="17">
        <f>IF(CX6&gt;0,INT(CX8+(CX6-F36)*(50/CX7)),0)</f>
        <v>0</v>
      </c>
      <c r="CY10" s="34">
        <v>1212</v>
      </c>
      <c r="CZ10" s="34">
        <v>24</v>
      </c>
      <c r="DA10" s="11">
        <v>1100</v>
      </c>
      <c r="DB10" s="17">
        <f>IF(DB6&gt;0,INT(DB8+(DB6-F37)*(50/DB7)),0)</f>
        <v>0</v>
      </c>
      <c r="DC10" s="34"/>
      <c r="DD10" s="50"/>
      <c r="DE10" s="50"/>
      <c r="DF10" s="50"/>
      <c r="DG10" s="50"/>
      <c r="DH10" s="34"/>
      <c r="DI10" s="34"/>
      <c r="DJ10" s="34"/>
      <c r="DK10" s="34"/>
    </row>
    <row r="11" spans="1:116" ht="12.5" customHeight="1" x14ac:dyDescent="0.35">
      <c r="A11" s="2"/>
      <c r="B11" s="76" t="s">
        <v>36</v>
      </c>
      <c r="C11" s="29"/>
      <c r="D11" s="28" t="str">
        <f>IF(Z5&gt;=0,Z9,"")</f>
        <v/>
      </c>
      <c r="E11" s="20" t="str">
        <f>IF(Z5=1,"Feil i resultat?",IF(Z9=Z10,"","Inkonsistent."))</f>
        <v/>
      </c>
      <c r="F11" s="3">
        <f>INT(C11/10000)*60+(C11-INT(C11/10000)*10000)/100</f>
        <v>0</v>
      </c>
      <c r="G11" s="35">
        <v>7.0910000000000002</v>
      </c>
      <c r="H11" s="35">
        <f t="shared" si="16"/>
        <v>0.12800000000000011</v>
      </c>
      <c r="I11" s="11">
        <v>1050</v>
      </c>
      <c r="J11" s="34"/>
      <c r="K11" s="13">
        <f t="shared" si="17"/>
        <v>11.082000000000001</v>
      </c>
      <c r="L11" s="13">
        <v>0.21</v>
      </c>
      <c r="M11" s="11">
        <v>1050</v>
      </c>
      <c r="N11" s="24" t="s">
        <v>25</v>
      </c>
      <c r="O11" s="13">
        <f t="shared" si="0"/>
        <v>22.416999999999998</v>
      </c>
      <c r="P11" s="13">
        <v>0.45</v>
      </c>
      <c r="Q11" s="11">
        <v>1050</v>
      </c>
      <c r="R11" s="24" t="s">
        <v>25</v>
      </c>
      <c r="S11" s="13">
        <f t="shared" si="18"/>
        <v>50.277999999999999</v>
      </c>
      <c r="T11" s="13">
        <v>1.0680000000000001</v>
      </c>
      <c r="U11" s="11">
        <v>1050</v>
      </c>
      <c r="V11" s="25" t="s">
        <v>25</v>
      </c>
      <c r="W11" s="13">
        <f t="shared" si="1"/>
        <v>117.46</v>
      </c>
      <c r="X11" s="13">
        <v>1.95</v>
      </c>
      <c r="Y11" s="11">
        <v>1050</v>
      </c>
      <c r="Z11" s="13"/>
      <c r="AA11" s="13">
        <f t="shared" si="2"/>
        <v>240.17000000000002</v>
      </c>
      <c r="AB11" s="13">
        <v>4.5</v>
      </c>
      <c r="AC11" s="11">
        <v>1050</v>
      </c>
      <c r="AD11" s="13"/>
      <c r="AE11" s="13">
        <f t="shared" si="3"/>
        <v>515.35</v>
      </c>
      <c r="AF11" s="13">
        <v>10.1</v>
      </c>
      <c r="AG11" s="11">
        <v>1050</v>
      </c>
      <c r="AH11" s="11"/>
      <c r="AI11" s="13">
        <f t="shared" si="4"/>
        <v>891.79999999999984</v>
      </c>
      <c r="AJ11" s="13">
        <v>18.399999999999999</v>
      </c>
      <c r="AK11" s="11">
        <v>1050</v>
      </c>
      <c r="AL11" s="11"/>
      <c r="AM11" s="13">
        <f t="shared" si="5"/>
        <v>1868.71</v>
      </c>
      <c r="AN11" s="13">
        <v>40.53</v>
      </c>
      <c r="AO11" s="11">
        <v>1050</v>
      </c>
      <c r="AP11" s="11"/>
      <c r="AQ11" s="53">
        <v>7.8470000000000004</v>
      </c>
      <c r="AR11" s="35">
        <f t="shared" si="22"/>
        <v>0.16999999999999993</v>
      </c>
      <c r="AS11" s="11">
        <v>1050</v>
      </c>
      <c r="AT11" s="11"/>
      <c r="AU11" s="13">
        <f t="shared" si="19"/>
        <v>12.702000000000002</v>
      </c>
      <c r="AV11" s="13">
        <v>0.29199999999999998</v>
      </c>
      <c r="AW11" s="11">
        <v>1050</v>
      </c>
      <c r="AX11" s="24" t="s">
        <v>25</v>
      </c>
      <c r="AY11" s="51">
        <f t="shared" si="6"/>
        <v>54.232999999999997</v>
      </c>
      <c r="AZ11" s="13">
        <v>1.175</v>
      </c>
      <c r="BA11" s="11">
        <v>1050</v>
      </c>
      <c r="BB11" s="24" t="s">
        <v>26</v>
      </c>
      <c r="BC11" s="13">
        <f t="shared" si="7"/>
        <v>559.05999999999995</v>
      </c>
      <c r="BD11" s="13">
        <v>12.1</v>
      </c>
      <c r="BE11" s="11">
        <v>1050</v>
      </c>
      <c r="BF11" s="11"/>
      <c r="BG11" s="13">
        <f t="shared" si="20"/>
        <v>1.157</v>
      </c>
      <c r="BH11" s="13">
        <v>0.04</v>
      </c>
      <c r="BI11" s="11">
        <v>250</v>
      </c>
      <c r="BJ11" s="11"/>
      <c r="BK11" s="13">
        <f t="shared" si="8"/>
        <v>0.98100000000000009</v>
      </c>
      <c r="BL11" s="13">
        <v>3.1E-2</v>
      </c>
      <c r="BM11" s="11">
        <v>250</v>
      </c>
      <c r="BN11" s="11"/>
      <c r="BO11" s="13">
        <f t="shared" si="21"/>
        <v>1.4850000000000001</v>
      </c>
      <c r="BP11" s="13">
        <v>0.125</v>
      </c>
      <c r="BQ11" s="11">
        <v>250</v>
      </c>
      <c r="BR11" s="11"/>
      <c r="BS11" s="13">
        <f t="shared" si="9"/>
        <v>3.4930000000000003</v>
      </c>
      <c r="BT11" s="13">
        <v>0.17599999999999999</v>
      </c>
      <c r="BU11" s="11">
        <v>250</v>
      </c>
      <c r="BV11" s="11"/>
      <c r="BW11" s="13">
        <f t="shared" si="10"/>
        <v>2.004</v>
      </c>
      <c r="BX11" s="13">
        <v>5.3999999999999999E-2</v>
      </c>
      <c r="BY11" s="11">
        <v>250</v>
      </c>
      <c r="BZ11" s="11"/>
      <c r="CA11" s="13">
        <f t="shared" si="11"/>
        <v>7.3899999999999988</v>
      </c>
      <c r="CB11" s="13">
        <v>0.373</v>
      </c>
      <c r="CC11" s="11">
        <v>250</v>
      </c>
      <c r="CD11" s="11"/>
      <c r="CE11" s="13">
        <f t="shared" si="12"/>
        <v>6.0280000000000005</v>
      </c>
      <c r="CF11" s="13">
        <v>0.52</v>
      </c>
      <c r="CG11" s="23">
        <v>250</v>
      </c>
      <c r="CH11" s="11"/>
      <c r="CI11" s="13">
        <f t="shared" si="13"/>
        <v>15.749999999999998</v>
      </c>
      <c r="CJ11" s="13">
        <v>1.3</v>
      </c>
      <c r="CK11" s="23">
        <v>250</v>
      </c>
      <c r="CL11" s="11"/>
      <c r="CM11" s="13">
        <f t="shared" si="14"/>
        <v>15.08</v>
      </c>
      <c r="CN11" s="13">
        <v>2.1</v>
      </c>
      <c r="CO11" s="23">
        <v>250</v>
      </c>
      <c r="CP11" s="11"/>
      <c r="CQ11" s="13">
        <f t="shared" si="15"/>
        <v>16.510000000000002</v>
      </c>
      <c r="CR11" s="13">
        <v>1.56</v>
      </c>
      <c r="CS11" s="23">
        <v>250</v>
      </c>
      <c r="CT11" s="11"/>
      <c r="CU11" s="34">
        <v>714</v>
      </c>
      <c r="CV11" s="34">
        <v>16</v>
      </c>
      <c r="CW11" s="11">
        <v>1050</v>
      </c>
      <c r="CX11" s="34"/>
      <c r="CY11" s="34">
        <v>1239</v>
      </c>
      <c r="CZ11" s="34">
        <v>27</v>
      </c>
      <c r="DA11" s="11">
        <v>1050</v>
      </c>
      <c r="DB11" s="34"/>
      <c r="DC11" s="34"/>
      <c r="DD11" s="50"/>
      <c r="DE11" s="50"/>
      <c r="DF11" s="50"/>
      <c r="DG11" s="50"/>
      <c r="DH11" s="34"/>
      <c r="DI11" s="34"/>
      <c r="DJ11" s="34"/>
      <c r="DK11" s="34"/>
    </row>
    <row r="12" spans="1:116" ht="12.5" customHeight="1" x14ac:dyDescent="0.35">
      <c r="A12" s="2"/>
      <c r="B12" s="45" t="s">
        <v>37</v>
      </c>
      <c r="C12" s="29"/>
      <c r="D12" s="28" t="str">
        <f>IF(AD5&gt;=0,AD9,"")</f>
        <v/>
      </c>
      <c r="E12" s="20" t="str">
        <f>IF(AD5=1,"Feil i resultat?",IF(AD9=AD10,"","Inkonsistent."))</f>
        <v/>
      </c>
      <c r="F12" s="3">
        <f>INT(C12/10000)*60+(C12-INT(C12/10000)*10000)/100</f>
        <v>0</v>
      </c>
      <c r="G12" s="35">
        <v>7.2229999999999999</v>
      </c>
      <c r="H12" s="35">
        <f t="shared" si="16"/>
        <v>0.13199999999999967</v>
      </c>
      <c r="I12" s="11">
        <v>1000</v>
      </c>
      <c r="J12" s="34"/>
      <c r="K12" s="13">
        <f t="shared" si="17"/>
        <v>11.302000000000001</v>
      </c>
      <c r="L12" s="13">
        <v>0.22</v>
      </c>
      <c r="M12" s="11">
        <v>1000</v>
      </c>
      <c r="N12" s="14">
        <f>IF(F6="",-1,IF(F6&lt;0,-1,IF(F6=0,-1,IF(F6&lt;9.8,1,IF(F6&gt;18.4,1,0)))))</f>
        <v>-1</v>
      </c>
      <c r="O12" s="13">
        <f t="shared" si="0"/>
        <v>22.896999999999998</v>
      </c>
      <c r="P12" s="13">
        <v>0.48</v>
      </c>
      <c r="Q12" s="11">
        <v>1000</v>
      </c>
      <c r="R12" s="14">
        <f>IF(F8="",-1,IF(F8&lt;0,-1,IF(F8=0,-1,IF(F8&lt;20.1,1,IF(F8&gt;40.6,1,0)))))</f>
        <v>-1</v>
      </c>
      <c r="S12" s="13">
        <f t="shared" si="18"/>
        <v>51.411000000000001</v>
      </c>
      <c r="T12" s="13">
        <v>1.133</v>
      </c>
      <c r="U12" s="11">
        <v>1000</v>
      </c>
      <c r="V12" s="14">
        <f>IF(F10="",-1,IF(F10&lt;0,-1,IF(F10=0,-1,IF(F10&lt;45.4,1,IF(F10&gt;98.3,1,0)))))</f>
        <v>-1</v>
      </c>
      <c r="W12" s="13">
        <f t="shared" si="1"/>
        <v>119.46</v>
      </c>
      <c r="X12" s="13">
        <v>2</v>
      </c>
      <c r="Y12" s="11">
        <v>1000</v>
      </c>
      <c r="Z12" s="22"/>
      <c r="AA12" s="13">
        <f t="shared" si="2"/>
        <v>244.87</v>
      </c>
      <c r="AB12" s="13">
        <v>4.7</v>
      </c>
      <c r="AC12" s="11">
        <v>1000</v>
      </c>
      <c r="AD12" s="22"/>
      <c r="AE12" s="13">
        <f t="shared" si="3"/>
        <v>526</v>
      </c>
      <c r="AF12" s="13">
        <v>10.65</v>
      </c>
      <c r="AG12" s="11">
        <v>1000</v>
      </c>
      <c r="AH12" s="11"/>
      <c r="AI12" s="13">
        <f t="shared" si="4"/>
        <v>911.24999999999989</v>
      </c>
      <c r="AJ12" s="13">
        <v>19.45</v>
      </c>
      <c r="AK12" s="11">
        <v>1000</v>
      </c>
      <c r="AL12" s="11"/>
      <c r="AM12" s="13">
        <f t="shared" si="5"/>
        <v>1911.56</v>
      </c>
      <c r="AN12" s="13">
        <v>42.85</v>
      </c>
      <c r="AO12" s="11">
        <v>1000</v>
      </c>
      <c r="AP12" s="11"/>
      <c r="AQ12" s="53">
        <v>8.0289999999999999</v>
      </c>
      <c r="AR12" s="35">
        <f t="shared" si="22"/>
        <v>0.1819999999999995</v>
      </c>
      <c r="AS12" s="11">
        <v>1000</v>
      </c>
      <c r="AT12" s="34"/>
      <c r="AU12" s="13">
        <f t="shared" si="19"/>
        <v>13.020000000000001</v>
      </c>
      <c r="AV12" s="13">
        <v>0.318</v>
      </c>
      <c r="AW12" s="11">
        <v>1000</v>
      </c>
      <c r="AX12" s="17">
        <f>IF(F19="",-1,IF(F19&lt;0,-1,IF(F19=0,-1,IF(F19&lt;11.2,1,IF(F19&gt;29,1,0)))))</f>
        <v>-1</v>
      </c>
      <c r="AY12" s="51">
        <f t="shared" si="6"/>
        <v>55.488</v>
      </c>
      <c r="AZ12" s="13">
        <v>1.2549999999999999</v>
      </c>
      <c r="BA12" s="11">
        <v>1000</v>
      </c>
      <c r="BB12" s="17">
        <f>IF(F21="",-1,IF(F21&lt;0,-1,IF(F21=0,-1,IF(F21&lt;48.8,1,IF(F21&gt;129.4,1,0)))))</f>
        <v>-1</v>
      </c>
      <c r="BC12" s="13">
        <f t="shared" si="7"/>
        <v>572.16</v>
      </c>
      <c r="BD12" s="13">
        <v>13.1</v>
      </c>
      <c r="BE12" s="11">
        <v>1000</v>
      </c>
      <c r="BF12" s="14"/>
      <c r="BG12" s="13">
        <f t="shared" si="20"/>
        <v>1.1970000000000001</v>
      </c>
      <c r="BH12" s="13">
        <v>4.2000000000000003E-2</v>
      </c>
      <c r="BI12" s="11">
        <v>300</v>
      </c>
      <c r="BJ12" s="14"/>
      <c r="BK12" s="13">
        <f t="shared" si="8"/>
        <v>1.012</v>
      </c>
      <c r="BL12" s="13">
        <v>3.3000000000000002E-2</v>
      </c>
      <c r="BM12" s="11">
        <v>300</v>
      </c>
      <c r="BN12" s="11"/>
      <c r="BO12" s="13">
        <f t="shared" si="21"/>
        <v>1.61</v>
      </c>
      <c r="BP12" s="13">
        <v>0.14000000000000001</v>
      </c>
      <c r="BQ12" s="11">
        <v>300</v>
      </c>
      <c r="BR12" s="11"/>
      <c r="BS12" s="13">
        <f t="shared" si="9"/>
        <v>3.6690000000000005</v>
      </c>
      <c r="BT12" s="13">
        <v>0.185</v>
      </c>
      <c r="BU12" s="11">
        <v>300</v>
      </c>
      <c r="BV12" s="11"/>
      <c r="BW12" s="13">
        <f t="shared" si="10"/>
        <v>2.0579999999999998</v>
      </c>
      <c r="BX12" s="13">
        <v>5.7000000000000002E-2</v>
      </c>
      <c r="BY12" s="11">
        <v>300</v>
      </c>
      <c r="BZ12" s="11"/>
      <c r="CA12" s="13">
        <f t="shared" si="11"/>
        <v>7.762999999999999</v>
      </c>
      <c r="CB12" s="13">
        <v>0.39200000000000002</v>
      </c>
      <c r="CC12" s="11">
        <v>300</v>
      </c>
      <c r="CD12" s="11"/>
      <c r="CE12" s="13">
        <f t="shared" si="12"/>
        <v>6.548</v>
      </c>
      <c r="CF12" s="13">
        <v>0.54</v>
      </c>
      <c r="CG12" s="23">
        <v>300</v>
      </c>
      <c r="CH12" s="11"/>
      <c r="CI12" s="13">
        <f t="shared" si="13"/>
        <v>17.049999999999997</v>
      </c>
      <c r="CJ12" s="13">
        <v>1.6</v>
      </c>
      <c r="CK12" s="23">
        <v>300</v>
      </c>
      <c r="CL12" s="11"/>
      <c r="CM12" s="13">
        <f t="shared" si="14"/>
        <v>17.18</v>
      </c>
      <c r="CN12" s="13">
        <v>2.2999999999999998</v>
      </c>
      <c r="CO12" s="23">
        <v>300</v>
      </c>
      <c r="CP12" s="11"/>
      <c r="CQ12" s="13">
        <f t="shared" si="15"/>
        <v>18.07</v>
      </c>
      <c r="CR12" s="13">
        <v>1.78</v>
      </c>
      <c r="CS12" s="23">
        <v>300</v>
      </c>
      <c r="CT12" s="11"/>
      <c r="CU12" s="34">
        <v>730</v>
      </c>
      <c r="CV12" s="34">
        <v>16</v>
      </c>
      <c r="CW12" s="11">
        <v>1000</v>
      </c>
      <c r="CX12" s="34"/>
      <c r="CY12" s="34">
        <v>1267</v>
      </c>
      <c r="CZ12" s="34">
        <v>28</v>
      </c>
      <c r="DA12" s="11">
        <v>1000</v>
      </c>
      <c r="DB12" s="34"/>
      <c r="DC12" s="34"/>
      <c r="DD12" s="50"/>
      <c r="DE12" s="50"/>
      <c r="DF12" s="50"/>
      <c r="DG12" s="50"/>
      <c r="DH12" s="34"/>
      <c r="DI12" s="34"/>
      <c r="DJ12" s="34"/>
      <c r="DK12" s="34"/>
      <c r="DL12" s="55"/>
    </row>
    <row r="13" spans="1:116" ht="12.5" customHeight="1" x14ac:dyDescent="0.35">
      <c r="A13" s="2"/>
      <c r="B13" s="45" t="s">
        <v>38</v>
      </c>
      <c r="C13" s="29"/>
      <c r="D13" s="28" t="str">
        <f>IF(AH5&gt;=0,AH9,"")</f>
        <v/>
      </c>
      <c r="E13" s="20" t="str">
        <f>IF(AH5=1,"Feil i resultat?",IF(AH9=AH10,"",""))</f>
        <v/>
      </c>
      <c r="F13" s="3">
        <f>INT(C13/10000)*60+(C13-INT(C13/10000)*10000)/100</f>
        <v>0</v>
      </c>
      <c r="G13" s="35">
        <v>7.359</v>
      </c>
      <c r="H13" s="35">
        <f t="shared" si="16"/>
        <v>0.13600000000000012</v>
      </c>
      <c r="I13" s="11">
        <v>950</v>
      </c>
      <c r="J13" s="34"/>
      <c r="K13" s="13">
        <f t="shared" si="17"/>
        <v>11.532000000000002</v>
      </c>
      <c r="L13" s="13">
        <v>0.23</v>
      </c>
      <c r="M13" s="11">
        <v>950</v>
      </c>
      <c r="N13" s="11">
        <v>0.24</v>
      </c>
      <c r="O13" s="13">
        <f t="shared" si="0"/>
        <v>23.404999999999998</v>
      </c>
      <c r="P13" s="13">
        <v>0.50800000000000001</v>
      </c>
      <c r="Q13" s="11">
        <v>950</v>
      </c>
      <c r="R13" s="11">
        <v>0.24</v>
      </c>
      <c r="S13" s="13">
        <f t="shared" si="18"/>
        <v>52.603999999999999</v>
      </c>
      <c r="T13" s="13">
        <v>1.1930000000000001</v>
      </c>
      <c r="U13" s="11">
        <v>950</v>
      </c>
      <c r="V13" s="13">
        <v>0.14000000000000001</v>
      </c>
      <c r="W13" s="13">
        <f t="shared" si="1"/>
        <v>121.66</v>
      </c>
      <c r="X13" s="13">
        <v>2.2000000000000002</v>
      </c>
      <c r="Y13" s="11">
        <v>950</v>
      </c>
      <c r="Z13" s="13"/>
      <c r="AA13" s="13">
        <f t="shared" si="2"/>
        <v>249.97</v>
      </c>
      <c r="AB13" s="13">
        <v>5.0999999999999996</v>
      </c>
      <c r="AC13" s="11">
        <v>950</v>
      </c>
      <c r="AD13" s="13"/>
      <c r="AE13" s="13">
        <f t="shared" si="3"/>
        <v>537.70000000000005</v>
      </c>
      <c r="AF13" s="13">
        <v>11.7</v>
      </c>
      <c r="AG13" s="11">
        <v>950</v>
      </c>
      <c r="AH13" s="11"/>
      <c r="AI13" s="13">
        <f t="shared" si="4"/>
        <v>932.62999999999988</v>
      </c>
      <c r="AJ13" s="13">
        <v>21.38</v>
      </c>
      <c r="AK13" s="11">
        <v>950</v>
      </c>
      <c r="AL13" s="11"/>
      <c r="AM13" s="13">
        <f t="shared" si="5"/>
        <v>1958.6699999999998</v>
      </c>
      <c r="AN13" s="13">
        <v>47.11</v>
      </c>
      <c r="AO13" s="11">
        <v>950</v>
      </c>
      <c r="AP13" s="11"/>
      <c r="AQ13" s="53">
        <v>8.2240000000000002</v>
      </c>
      <c r="AR13" s="35">
        <f t="shared" si="22"/>
        <v>0.19500000000000028</v>
      </c>
      <c r="AS13" s="11">
        <v>950</v>
      </c>
      <c r="AT13" s="34"/>
      <c r="AU13" s="13">
        <f t="shared" si="19"/>
        <v>13.370000000000001</v>
      </c>
      <c r="AV13" s="13">
        <v>0.35</v>
      </c>
      <c r="AW13" s="11">
        <v>950</v>
      </c>
      <c r="AX13" s="11">
        <v>0.24</v>
      </c>
      <c r="AY13" s="51">
        <f t="shared" si="6"/>
        <v>56.828000000000003</v>
      </c>
      <c r="AZ13" s="13">
        <v>1.34</v>
      </c>
      <c r="BA13" s="11">
        <v>950</v>
      </c>
      <c r="BB13" s="11">
        <v>0.14000000000000001</v>
      </c>
      <c r="BC13" s="13">
        <f t="shared" si="7"/>
        <v>586.66</v>
      </c>
      <c r="BD13" s="13">
        <v>14.5</v>
      </c>
      <c r="BE13" s="11">
        <v>950</v>
      </c>
      <c r="BF13" s="11"/>
      <c r="BG13" s="13">
        <f t="shared" si="20"/>
        <v>1.2390000000000001</v>
      </c>
      <c r="BH13" s="13">
        <v>4.3999999999999997E-2</v>
      </c>
      <c r="BI13" s="11">
        <v>350</v>
      </c>
      <c r="BJ13" s="11"/>
      <c r="BK13" s="13">
        <f t="shared" si="8"/>
        <v>1.0449999999999999</v>
      </c>
      <c r="BL13" s="13">
        <v>3.5000000000000003E-2</v>
      </c>
      <c r="BM13" s="11">
        <v>350</v>
      </c>
      <c r="BN13" s="11"/>
      <c r="BO13" s="13">
        <f t="shared" si="21"/>
        <v>1.75</v>
      </c>
      <c r="BP13" s="13">
        <v>0.155</v>
      </c>
      <c r="BQ13" s="11">
        <v>350</v>
      </c>
      <c r="BR13" s="11"/>
      <c r="BS13" s="13">
        <f t="shared" si="9"/>
        <v>3.8540000000000005</v>
      </c>
      <c r="BT13" s="13">
        <v>0.19400000000000001</v>
      </c>
      <c r="BU13" s="11">
        <v>350</v>
      </c>
      <c r="BV13" s="11"/>
      <c r="BW13" s="13">
        <f t="shared" si="10"/>
        <v>2.1149999999999998</v>
      </c>
      <c r="BX13" s="13">
        <v>0.06</v>
      </c>
      <c r="BY13" s="11">
        <v>350</v>
      </c>
      <c r="BZ13" s="11"/>
      <c r="CA13" s="13">
        <f t="shared" si="11"/>
        <v>8.1549999999999994</v>
      </c>
      <c r="CB13" s="13">
        <v>0.41099999999999998</v>
      </c>
      <c r="CC13" s="11">
        <v>350</v>
      </c>
      <c r="CD13" s="11"/>
      <c r="CE13" s="13">
        <f t="shared" si="12"/>
        <v>7.0880000000000001</v>
      </c>
      <c r="CF13" s="13">
        <v>0.56000000000000005</v>
      </c>
      <c r="CG13" s="23">
        <v>350</v>
      </c>
      <c r="CH13" s="11"/>
      <c r="CI13" s="13">
        <f t="shared" si="13"/>
        <v>18.649999999999999</v>
      </c>
      <c r="CJ13" s="13">
        <v>1.9</v>
      </c>
      <c r="CK13" s="23">
        <v>350</v>
      </c>
      <c r="CL13" s="11"/>
      <c r="CM13" s="13">
        <f t="shared" si="14"/>
        <v>19.48</v>
      </c>
      <c r="CN13" s="13">
        <v>2.5</v>
      </c>
      <c r="CO13" s="23">
        <v>350</v>
      </c>
      <c r="CP13" s="11"/>
      <c r="CQ13" s="13">
        <f t="shared" si="15"/>
        <v>19.850000000000001</v>
      </c>
      <c r="CR13" s="13">
        <v>2</v>
      </c>
      <c r="CS13" s="23">
        <v>350</v>
      </c>
      <c r="CT13" s="11"/>
      <c r="CU13" s="34">
        <v>748</v>
      </c>
      <c r="CV13" s="34">
        <v>18</v>
      </c>
      <c r="CW13" s="11">
        <v>950</v>
      </c>
      <c r="CX13" s="34"/>
      <c r="CY13" s="34">
        <v>1298</v>
      </c>
      <c r="CZ13" s="34">
        <v>31</v>
      </c>
      <c r="DA13" s="11">
        <v>950</v>
      </c>
      <c r="DB13" s="34"/>
      <c r="DC13" s="34"/>
      <c r="DD13" s="68" t="s">
        <v>62</v>
      </c>
      <c r="DE13" s="50"/>
      <c r="DF13" s="50"/>
      <c r="DG13" s="50"/>
      <c r="DH13" s="34"/>
      <c r="DI13" s="34"/>
      <c r="DJ13" s="34"/>
      <c r="DK13" s="34"/>
    </row>
    <row r="14" spans="1:116" ht="12.5" customHeight="1" x14ac:dyDescent="0.35">
      <c r="A14" s="2"/>
      <c r="B14" s="45" t="s">
        <v>39</v>
      </c>
      <c r="C14" s="29"/>
      <c r="D14" s="28" t="str">
        <f>IF(AL5&gt;=0,AL9,"")</f>
        <v/>
      </c>
      <c r="E14" s="20" t="str">
        <f>IF(AL5=1,"Feil i resultat?",IF(AL9=AL10,"",""))</f>
        <v/>
      </c>
      <c r="F14" s="3">
        <f>INT(C14/10000)*60+(C14-INT(C14/10000)*10000)/100</f>
        <v>0</v>
      </c>
      <c r="G14" s="35">
        <v>7.4989999999999997</v>
      </c>
      <c r="H14" s="35">
        <f t="shared" si="16"/>
        <v>0.13999999999999968</v>
      </c>
      <c r="I14" s="11">
        <v>900</v>
      </c>
      <c r="J14" s="34"/>
      <c r="K14" s="13">
        <f t="shared" si="17"/>
        <v>11.772000000000002</v>
      </c>
      <c r="L14" s="13">
        <v>0.24</v>
      </c>
      <c r="M14" s="11">
        <v>900</v>
      </c>
      <c r="N14" s="13">
        <f>IF(N12&lt;0,0,LOOKUP(F6+N13,K4:K32,K5:K33))</f>
        <v>0</v>
      </c>
      <c r="O14" s="13">
        <f t="shared" si="0"/>
        <v>23.938999999999997</v>
      </c>
      <c r="P14" s="13">
        <v>0.53400000000000003</v>
      </c>
      <c r="Q14" s="11">
        <v>900</v>
      </c>
      <c r="R14" s="13">
        <f>IF(R12&lt;0,0,LOOKUP(F8+R13,O4:O32,O5:O33))</f>
        <v>0</v>
      </c>
      <c r="S14" s="13">
        <f t="shared" si="18"/>
        <v>53.851999999999997</v>
      </c>
      <c r="T14" s="13">
        <v>1.248</v>
      </c>
      <c r="U14" s="11">
        <v>900</v>
      </c>
      <c r="V14" s="13">
        <f>IF(V12&lt;0,0,LOOKUP(F10+V13,S4:S32,S5:S33))</f>
        <v>0</v>
      </c>
      <c r="W14" s="13">
        <f t="shared" si="1"/>
        <v>124.16</v>
      </c>
      <c r="X14" s="13">
        <v>2.5</v>
      </c>
      <c r="Y14" s="11">
        <v>900</v>
      </c>
      <c r="Z14" s="13"/>
      <c r="AA14" s="13">
        <f t="shared" si="2"/>
        <v>255.57</v>
      </c>
      <c r="AB14" s="13">
        <v>5.6</v>
      </c>
      <c r="AC14" s="11">
        <v>900</v>
      </c>
      <c r="AD14" s="13"/>
      <c r="AE14" s="13">
        <f t="shared" si="3"/>
        <v>550.55000000000007</v>
      </c>
      <c r="AF14" s="13">
        <v>12.85</v>
      </c>
      <c r="AG14" s="11">
        <v>900</v>
      </c>
      <c r="AH14" s="11"/>
      <c r="AI14" s="13">
        <f t="shared" si="4"/>
        <v>956.11999999999989</v>
      </c>
      <c r="AJ14" s="13">
        <v>23.49</v>
      </c>
      <c r="AK14" s="11">
        <v>900</v>
      </c>
      <c r="AL14" s="11"/>
      <c r="AM14" s="13">
        <f t="shared" si="5"/>
        <v>2010.4399999999998</v>
      </c>
      <c r="AN14" s="13">
        <v>51.77</v>
      </c>
      <c r="AO14" s="11">
        <v>900</v>
      </c>
      <c r="AP14" s="11"/>
      <c r="AQ14" s="53">
        <v>8.4320000000000022</v>
      </c>
      <c r="AR14" s="35">
        <f t="shared" si="22"/>
        <v>0.20800000000000196</v>
      </c>
      <c r="AS14" s="11">
        <v>900</v>
      </c>
      <c r="AT14" s="34"/>
      <c r="AU14" s="13">
        <f t="shared" si="19"/>
        <v>13.760000000000002</v>
      </c>
      <c r="AV14" s="13">
        <v>0.39</v>
      </c>
      <c r="AW14" s="11">
        <v>900</v>
      </c>
      <c r="AX14" s="13">
        <f>IF(AX12&lt;0,0,LOOKUP(F19+AX13,AU4:AU32,AU5:AU33))</f>
        <v>0</v>
      </c>
      <c r="AY14" s="51">
        <f t="shared" si="6"/>
        <v>58.258000000000003</v>
      </c>
      <c r="AZ14" s="13">
        <v>1.43</v>
      </c>
      <c r="BA14" s="11">
        <v>900</v>
      </c>
      <c r="BB14" s="13">
        <f>IF(BB12&lt;0,0,LOOKUP(F21+BB13,AY4:AY32,AY5:AY33))</f>
        <v>0</v>
      </c>
      <c r="BC14" s="13">
        <f t="shared" si="7"/>
        <v>602.58999999999992</v>
      </c>
      <c r="BD14" s="13">
        <v>15.93</v>
      </c>
      <c r="BE14" s="11">
        <v>900</v>
      </c>
      <c r="BF14" s="13"/>
      <c r="BG14" s="13">
        <f t="shared" si="20"/>
        <v>1.2830000000000001</v>
      </c>
      <c r="BH14" s="13">
        <v>4.7E-2</v>
      </c>
      <c r="BI14" s="11">
        <v>400</v>
      </c>
      <c r="BJ14" s="13"/>
      <c r="BK14" s="13">
        <f t="shared" si="8"/>
        <v>1.0799999999999998</v>
      </c>
      <c r="BL14" s="13">
        <v>3.6999999999999998E-2</v>
      </c>
      <c r="BM14" s="11">
        <v>400</v>
      </c>
      <c r="BN14" s="11"/>
      <c r="BO14" s="13">
        <f t="shared" si="21"/>
        <v>1.905</v>
      </c>
      <c r="BP14" s="13">
        <v>0.17</v>
      </c>
      <c r="BQ14" s="11">
        <v>400</v>
      </c>
      <c r="BR14" s="11"/>
      <c r="BS14" s="13">
        <f t="shared" si="9"/>
        <v>4.0480000000000009</v>
      </c>
      <c r="BT14" s="13">
        <v>0.20300000000000001</v>
      </c>
      <c r="BU14" s="11">
        <v>400</v>
      </c>
      <c r="BV14" s="11"/>
      <c r="BW14" s="13">
        <f t="shared" si="10"/>
        <v>2.1749999999999998</v>
      </c>
      <c r="BX14" s="13">
        <v>6.3E-2</v>
      </c>
      <c r="BY14" s="11">
        <v>400</v>
      </c>
      <c r="BZ14" s="11"/>
      <c r="CA14" s="13">
        <f t="shared" si="11"/>
        <v>8.5659999999999989</v>
      </c>
      <c r="CB14" s="13">
        <v>0.43</v>
      </c>
      <c r="CC14" s="11">
        <v>400</v>
      </c>
      <c r="CD14" s="11"/>
      <c r="CE14" s="13">
        <f t="shared" si="12"/>
        <v>7.6479999999999997</v>
      </c>
      <c r="CF14" s="13">
        <v>0.57999999999999996</v>
      </c>
      <c r="CG14" s="23">
        <v>400</v>
      </c>
      <c r="CH14" s="11"/>
      <c r="CI14" s="13">
        <f t="shared" si="13"/>
        <v>20.549999999999997</v>
      </c>
      <c r="CJ14" s="13">
        <v>2.2000000000000002</v>
      </c>
      <c r="CK14" s="23">
        <v>400</v>
      </c>
      <c r="CL14" s="11"/>
      <c r="CM14" s="13">
        <f t="shared" si="14"/>
        <v>21.98</v>
      </c>
      <c r="CN14" s="13">
        <v>2.7</v>
      </c>
      <c r="CO14" s="23">
        <v>400</v>
      </c>
      <c r="CP14" s="11"/>
      <c r="CQ14" s="13">
        <f t="shared" si="15"/>
        <v>21.85</v>
      </c>
      <c r="CR14" s="13">
        <v>2.4</v>
      </c>
      <c r="CS14" s="23">
        <v>400</v>
      </c>
      <c r="CT14" s="11"/>
      <c r="CU14" s="34">
        <v>767</v>
      </c>
      <c r="CV14" s="34">
        <v>19</v>
      </c>
      <c r="CW14" s="11">
        <v>900</v>
      </c>
      <c r="CX14" s="34"/>
      <c r="CY14" s="34">
        <v>1332</v>
      </c>
      <c r="CZ14" s="34">
        <v>34</v>
      </c>
      <c r="DA14" s="11">
        <v>900</v>
      </c>
      <c r="DB14" s="34"/>
      <c r="DC14" s="34"/>
      <c r="DD14" s="68" t="s">
        <v>63</v>
      </c>
      <c r="DE14" s="50"/>
      <c r="DF14" s="50"/>
      <c r="DG14" s="50"/>
      <c r="DH14" s="34"/>
      <c r="DI14" s="34"/>
      <c r="DJ14" s="34"/>
      <c r="DK14" s="34"/>
    </row>
    <row r="15" spans="1:116" ht="12.5" customHeight="1" x14ac:dyDescent="0.35">
      <c r="A15" s="2"/>
      <c r="B15" s="77" t="s">
        <v>40</v>
      </c>
      <c r="C15" s="59"/>
      <c r="D15" s="28" t="str">
        <f>IF(AP5&gt;=0,AP9,"")</f>
        <v/>
      </c>
      <c r="E15" s="20" t="str">
        <f>IF(AP5=1,"Feil i resultat?",IF(AP9=AP10,"","Inkonsistent."))</f>
        <v/>
      </c>
      <c r="F15" s="3">
        <f>INT(C15/1000000)*60*60+INT(INT(C15-INT(C15/1000000)*1000000)/10000)*60+(C15-INT(C15/10000)*10000)/100</f>
        <v>0</v>
      </c>
      <c r="G15" s="35">
        <v>7.6439999999999992</v>
      </c>
      <c r="H15" s="35">
        <f t="shared" si="16"/>
        <v>0.14499999999999957</v>
      </c>
      <c r="I15" s="11">
        <v>850</v>
      </c>
      <c r="J15" s="34"/>
      <c r="K15" s="13">
        <f t="shared" si="17"/>
        <v>12.022000000000002</v>
      </c>
      <c r="L15" s="13">
        <v>0.25</v>
      </c>
      <c r="M15" s="11">
        <v>850</v>
      </c>
      <c r="N15" s="11">
        <f>IF(N14&gt;0,LOOKUP(F6+N13,K4:K32,L5:L33),0)</f>
        <v>0</v>
      </c>
      <c r="O15" s="13">
        <f t="shared" si="0"/>
        <v>24.498999999999995</v>
      </c>
      <c r="P15" s="13">
        <v>0.56000000000000005</v>
      </c>
      <c r="Q15" s="11">
        <v>850</v>
      </c>
      <c r="R15" s="11">
        <f>IF(R14&gt;0,LOOKUP(F8+R13,O4:O32,P5:P33),0)</f>
        <v>0</v>
      </c>
      <c r="S15" s="13">
        <f t="shared" si="18"/>
        <v>55.15</v>
      </c>
      <c r="T15" s="13">
        <v>1.298</v>
      </c>
      <c r="U15" s="11">
        <v>850</v>
      </c>
      <c r="V15" s="13">
        <f>IF(V14&gt;0,LOOKUP(F10+V13,S4:S32,T5:T33),0)</f>
        <v>0</v>
      </c>
      <c r="W15" s="13">
        <f t="shared" si="1"/>
        <v>126.96</v>
      </c>
      <c r="X15" s="13">
        <v>2.8</v>
      </c>
      <c r="Y15" s="11">
        <v>850</v>
      </c>
      <c r="Z15" s="13"/>
      <c r="AA15" s="13">
        <f t="shared" si="2"/>
        <v>261.77</v>
      </c>
      <c r="AB15" s="13">
        <v>6.2</v>
      </c>
      <c r="AC15" s="11">
        <v>850</v>
      </c>
      <c r="AD15" s="13"/>
      <c r="AE15" s="13">
        <f t="shared" si="3"/>
        <v>564.75000000000011</v>
      </c>
      <c r="AF15" s="13">
        <v>14.2</v>
      </c>
      <c r="AG15" s="11">
        <v>850</v>
      </c>
      <c r="AH15" s="11"/>
      <c r="AI15" s="13">
        <f t="shared" si="4"/>
        <v>981.91999999999985</v>
      </c>
      <c r="AJ15" s="13">
        <v>25.8</v>
      </c>
      <c r="AK15" s="11">
        <v>850</v>
      </c>
      <c r="AL15" s="11"/>
      <c r="AM15" s="13">
        <f t="shared" si="5"/>
        <v>2067.14</v>
      </c>
      <c r="AN15" s="13">
        <v>56.7</v>
      </c>
      <c r="AO15" s="11">
        <v>850</v>
      </c>
      <c r="AP15" s="11"/>
      <c r="AQ15" s="53">
        <v>8.6550000000000011</v>
      </c>
      <c r="AR15" s="35">
        <f t="shared" si="22"/>
        <v>0.22299999999999898</v>
      </c>
      <c r="AS15" s="11">
        <v>850</v>
      </c>
      <c r="AT15" s="34"/>
      <c r="AU15" s="13">
        <f t="shared" si="19"/>
        <v>14.190000000000001</v>
      </c>
      <c r="AV15" s="13">
        <v>0.43</v>
      </c>
      <c r="AW15" s="11">
        <v>850</v>
      </c>
      <c r="AX15" s="11">
        <f>IF(AX14&gt;0,LOOKUP(F19+AX13,AU4:AU32,AV5:AV33),0)</f>
        <v>0</v>
      </c>
      <c r="AY15" s="51">
        <f t="shared" si="6"/>
        <v>59.783000000000001</v>
      </c>
      <c r="AZ15" s="13">
        <v>1.5249999999999999</v>
      </c>
      <c r="BA15" s="11">
        <v>850</v>
      </c>
      <c r="BB15" s="11" t="str">
        <f>IF(BB14&gt;0,LOOKUP(F21+BB13,AY4:AY32,AZ5:AZ33),"")</f>
        <v/>
      </c>
      <c r="BC15" s="13">
        <f t="shared" si="7"/>
        <v>620.2399999999999</v>
      </c>
      <c r="BD15" s="13">
        <v>17.649999999999999</v>
      </c>
      <c r="BE15" s="11">
        <v>850</v>
      </c>
      <c r="BF15" s="11"/>
      <c r="BG15" s="13">
        <f t="shared" si="20"/>
        <v>1.33</v>
      </c>
      <c r="BH15" s="13">
        <v>0.05</v>
      </c>
      <c r="BI15" s="11">
        <v>450</v>
      </c>
      <c r="BJ15" s="11"/>
      <c r="BK15" s="13">
        <f t="shared" si="8"/>
        <v>1.1169999999999998</v>
      </c>
      <c r="BL15" s="13">
        <v>3.9E-2</v>
      </c>
      <c r="BM15" s="11">
        <v>450</v>
      </c>
      <c r="BN15" s="11"/>
      <c r="BO15" s="13">
        <f t="shared" si="21"/>
        <v>2.0750000000000002</v>
      </c>
      <c r="BP15" s="13">
        <v>0.185</v>
      </c>
      <c r="BQ15" s="11">
        <v>450</v>
      </c>
      <c r="BR15" s="11"/>
      <c r="BS15" s="13">
        <f t="shared" si="9"/>
        <v>4.2510000000000012</v>
      </c>
      <c r="BT15" s="13">
        <v>0.21199999999999999</v>
      </c>
      <c r="BU15" s="11">
        <v>450</v>
      </c>
      <c r="BV15" s="11"/>
      <c r="BW15" s="13">
        <f t="shared" si="10"/>
        <v>2.238</v>
      </c>
      <c r="BX15" s="13">
        <v>6.6000000000000003E-2</v>
      </c>
      <c r="BY15" s="11">
        <v>450</v>
      </c>
      <c r="BZ15" s="11"/>
      <c r="CA15" s="13">
        <f t="shared" si="11"/>
        <v>8.9959999999999987</v>
      </c>
      <c r="CB15" s="13">
        <v>0.44900000000000001</v>
      </c>
      <c r="CC15" s="11">
        <v>450</v>
      </c>
      <c r="CD15" s="11"/>
      <c r="CE15" s="13">
        <f t="shared" si="12"/>
        <v>8.2279999999999998</v>
      </c>
      <c r="CF15" s="13">
        <v>0.6</v>
      </c>
      <c r="CG15" s="23">
        <v>450</v>
      </c>
      <c r="CH15" s="11"/>
      <c r="CI15" s="13">
        <f t="shared" si="13"/>
        <v>22.749999999999996</v>
      </c>
      <c r="CJ15" s="13">
        <v>2.5</v>
      </c>
      <c r="CK15" s="23">
        <v>450</v>
      </c>
      <c r="CL15" s="11"/>
      <c r="CM15" s="13">
        <f t="shared" si="14"/>
        <v>24.68</v>
      </c>
      <c r="CN15" s="13">
        <v>2.9</v>
      </c>
      <c r="CO15" s="23">
        <v>450</v>
      </c>
      <c r="CP15" s="11"/>
      <c r="CQ15" s="13">
        <f t="shared" si="15"/>
        <v>24.25</v>
      </c>
      <c r="CR15" s="13">
        <v>2.8</v>
      </c>
      <c r="CS15" s="23">
        <v>450</v>
      </c>
      <c r="CT15" s="11"/>
      <c r="CU15" s="34">
        <v>789</v>
      </c>
      <c r="CV15" s="34">
        <v>22</v>
      </c>
      <c r="CW15" s="11">
        <v>850</v>
      </c>
      <c r="CX15" s="34"/>
      <c r="CY15" s="34">
        <v>1369</v>
      </c>
      <c r="CZ15" s="34">
        <v>37</v>
      </c>
      <c r="DA15" s="11">
        <v>850</v>
      </c>
      <c r="DB15" s="34"/>
      <c r="DC15" s="34"/>
      <c r="DD15" s="50"/>
      <c r="DE15" s="50"/>
      <c r="DF15" s="50"/>
      <c r="DG15" s="50"/>
      <c r="DH15" s="34"/>
      <c r="DI15" s="34"/>
      <c r="DJ15" s="34"/>
      <c r="DK15" s="34"/>
    </row>
    <row r="16" spans="1:116" ht="12.5" customHeight="1" x14ac:dyDescent="0.35">
      <c r="A16" s="2"/>
      <c r="B16" s="78"/>
      <c r="C16" s="30"/>
      <c r="D16" s="31"/>
      <c r="E16" s="20"/>
      <c r="F16" s="41"/>
      <c r="G16" s="35">
        <v>7.7939999999999996</v>
      </c>
      <c r="H16" s="35">
        <f t="shared" si="16"/>
        <v>0.15000000000000036</v>
      </c>
      <c r="I16" s="11">
        <v>800</v>
      </c>
      <c r="J16" s="34"/>
      <c r="K16" s="13">
        <f t="shared" si="17"/>
        <v>12.282000000000002</v>
      </c>
      <c r="L16" s="13">
        <v>0.26</v>
      </c>
      <c r="M16" s="11">
        <v>800</v>
      </c>
      <c r="N16" s="11">
        <f>IF(N14&gt;0,LOOKUP(F6+N13,K4:K32,M5:M33),0)</f>
        <v>0</v>
      </c>
      <c r="O16" s="13">
        <f t="shared" si="0"/>
        <v>25.084999999999994</v>
      </c>
      <c r="P16" s="13">
        <v>0.58599999999999997</v>
      </c>
      <c r="Q16" s="11">
        <v>800</v>
      </c>
      <c r="R16" s="11">
        <f>IF(R14&gt;0,LOOKUP(F8+R13,O4:O32,Q5:Q33),0)</f>
        <v>0</v>
      </c>
      <c r="S16" s="13">
        <f t="shared" si="18"/>
        <v>56.497999999999998</v>
      </c>
      <c r="T16" s="13">
        <v>1.3480000000000001</v>
      </c>
      <c r="U16" s="11">
        <v>800</v>
      </c>
      <c r="V16" s="23">
        <f>IF(V14&gt;0,LOOKUP(F10+V13,S4:S32,U5:U33),0)</f>
        <v>0</v>
      </c>
      <c r="W16" s="13">
        <f t="shared" si="1"/>
        <v>130.06</v>
      </c>
      <c r="X16" s="13">
        <v>3.1</v>
      </c>
      <c r="Y16" s="11">
        <v>800</v>
      </c>
      <c r="Z16" s="23"/>
      <c r="AA16" s="13">
        <f t="shared" si="2"/>
        <v>268.57</v>
      </c>
      <c r="AB16" s="13">
        <v>6.8</v>
      </c>
      <c r="AC16" s="11">
        <v>800</v>
      </c>
      <c r="AD16" s="23"/>
      <c r="AE16" s="13">
        <f t="shared" si="3"/>
        <v>580.30000000000007</v>
      </c>
      <c r="AF16" s="13">
        <v>15.55</v>
      </c>
      <c r="AG16" s="11">
        <v>800</v>
      </c>
      <c r="AH16" s="11"/>
      <c r="AI16" s="13">
        <f t="shared" si="4"/>
        <v>1010.0199999999999</v>
      </c>
      <c r="AJ16" s="13">
        <v>28.1</v>
      </c>
      <c r="AK16" s="11">
        <v>800</v>
      </c>
      <c r="AL16" s="11"/>
      <c r="AM16" s="13">
        <f t="shared" si="5"/>
        <v>2128.8399999999997</v>
      </c>
      <c r="AN16" s="13">
        <v>61.7</v>
      </c>
      <c r="AO16" s="11">
        <v>800</v>
      </c>
      <c r="AP16" s="11"/>
      <c r="AQ16" s="53">
        <v>8.8940000000000019</v>
      </c>
      <c r="AR16" s="35">
        <f t="shared" si="22"/>
        <v>0.23900000000000077</v>
      </c>
      <c r="AS16" s="11">
        <v>800</v>
      </c>
      <c r="AT16" s="34"/>
      <c r="AU16" s="13">
        <f t="shared" si="19"/>
        <v>14.660000000000002</v>
      </c>
      <c r="AV16" s="13">
        <v>0.47</v>
      </c>
      <c r="AW16" s="11">
        <v>800</v>
      </c>
      <c r="AX16" s="11">
        <f>IF(AX14&gt;0,LOOKUP(F19+AX13,AU4:AU32,AW5:AW33),0)</f>
        <v>0</v>
      </c>
      <c r="AY16" s="51">
        <f t="shared" si="6"/>
        <v>61.402999999999999</v>
      </c>
      <c r="AZ16" s="13">
        <v>1.62</v>
      </c>
      <c r="BA16" s="11">
        <v>800</v>
      </c>
      <c r="BB16" s="11" t="str">
        <f>IF(BB14&gt;0,LOOKUP(F21+BB13,AY4:AY32,BA5:BA33),"")</f>
        <v/>
      </c>
      <c r="BC16" s="13">
        <f t="shared" si="7"/>
        <v>639.6099999999999</v>
      </c>
      <c r="BD16" s="13">
        <v>19.37</v>
      </c>
      <c r="BE16" s="11">
        <v>800</v>
      </c>
      <c r="BF16" s="11"/>
      <c r="BG16" s="13">
        <f t="shared" si="20"/>
        <v>1.3800000000000001</v>
      </c>
      <c r="BH16" s="13">
        <v>5.2999999999999999E-2</v>
      </c>
      <c r="BI16" s="11">
        <v>500</v>
      </c>
      <c r="BJ16" s="11"/>
      <c r="BK16" s="13">
        <f t="shared" si="8"/>
        <v>1.1559999999999997</v>
      </c>
      <c r="BL16" s="13">
        <v>4.1000000000000002E-2</v>
      </c>
      <c r="BM16" s="11">
        <v>500</v>
      </c>
      <c r="BN16" s="11"/>
      <c r="BO16" s="13">
        <f t="shared" si="21"/>
        <v>2.2600000000000002</v>
      </c>
      <c r="BP16" s="13">
        <v>0.2</v>
      </c>
      <c r="BQ16" s="11">
        <v>500</v>
      </c>
      <c r="BR16" s="11"/>
      <c r="BS16" s="13">
        <f t="shared" si="9"/>
        <v>4.463000000000001</v>
      </c>
      <c r="BT16" s="13">
        <v>0.221</v>
      </c>
      <c r="BU16" s="11">
        <v>500</v>
      </c>
      <c r="BV16" s="11"/>
      <c r="BW16" s="13">
        <f t="shared" si="10"/>
        <v>2.3039999999999998</v>
      </c>
      <c r="BX16" s="13">
        <v>7.0000000000000007E-2</v>
      </c>
      <c r="BY16" s="11">
        <v>500</v>
      </c>
      <c r="BZ16" s="11"/>
      <c r="CA16" s="13">
        <f t="shared" si="11"/>
        <v>9.4449999999999985</v>
      </c>
      <c r="CB16" s="13">
        <v>0.46800000000000003</v>
      </c>
      <c r="CC16" s="11">
        <v>500</v>
      </c>
      <c r="CD16" s="11"/>
      <c r="CE16" s="13">
        <f t="shared" si="12"/>
        <v>8.8279999999999994</v>
      </c>
      <c r="CF16" s="13">
        <v>0.62</v>
      </c>
      <c r="CG16" s="23">
        <v>500</v>
      </c>
      <c r="CH16" s="11"/>
      <c r="CI16" s="13">
        <f t="shared" si="13"/>
        <v>25.249999999999996</v>
      </c>
      <c r="CJ16" s="13">
        <v>2.8</v>
      </c>
      <c r="CK16" s="23">
        <v>500</v>
      </c>
      <c r="CL16" s="11"/>
      <c r="CM16" s="13">
        <f t="shared" si="14"/>
        <v>27.58</v>
      </c>
      <c r="CN16" s="13">
        <v>3.1</v>
      </c>
      <c r="CO16" s="23">
        <v>500</v>
      </c>
      <c r="CP16" s="11"/>
      <c r="CQ16" s="13">
        <f t="shared" si="15"/>
        <v>27.05</v>
      </c>
      <c r="CR16" s="13">
        <v>3.1</v>
      </c>
      <c r="CS16" s="23">
        <v>500</v>
      </c>
      <c r="CT16" s="11"/>
      <c r="CU16" s="34">
        <v>812</v>
      </c>
      <c r="CV16" s="34">
        <v>23</v>
      </c>
      <c r="CW16" s="11">
        <v>800</v>
      </c>
      <c r="CX16" s="34"/>
      <c r="CY16" s="34">
        <v>1410</v>
      </c>
      <c r="CZ16" s="34">
        <v>41</v>
      </c>
      <c r="DA16" s="11">
        <v>800</v>
      </c>
      <c r="DB16" s="34"/>
      <c r="DC16" s="34"/>
      <c r="DD16" s="64" t="s">
        <v>64</v>
      </c>
      <c r="DE16" s="65"/>
      <c r="DF16" s="65"/>
      <c r="DG16" s="65"/>
      <c r="DH16" s="34"/>
      <c r="DI16" s="34"/>
      <c r="DJ16" s="34"/>
      <c r="DK16" s="52"/>
    </row>
    <row r="17" spans="1:115" ht="12.5" customHeight="1" x14ac:dyDescent="0.35">
      <c r="A17" s="2"/>
      <c r="B17" s="44" t="s">
        <v>60</v>
      </c>
      <c r="C17" s="29"/>
      <c r="D17" s="32" t="str">
        <f>IF(AT5&gt;=0,AT9,"")</f>
        <v/>
      </c>
      <c r="E17" s="56" t="str">
        <f>IF(AT5=1,"Feil i resultat?",IF(AT9=AT10,"",""))</f>
        <v/>
      </c>
      <c r="F17" s="41">
        <f>C17/100</f>
        <v>0</v>
      </c>
      <c r="G17" s="35">
        <v>7.9499999999999993</v>
      </c>
      <c r="H17" s="35">
        <f t="shared" si="16"/>
        <v>0.15599999999999969</v>
      </c>
      <c r="I17" s="11">
        <v>750</v>
      </c>
      <c r="J17" s="34"/>
      <c r="K17" s="13">
        <f t="shared" si="17"/>
        <v>12.552000000000001</v>
      </c>
      <c r="L17" s="13">
        <v>0.27</v>
      </c>
      <c r="M17" s="11">
        <v>750</v>
      </c>
      <c r="N17" s="14">
        <f>IF(N14&gt;0,INT(N16+(N14-F6-N13)*(50/N15)+F38),0)</f>
        <v>0</v>
      </c>
      <c r="O17" s="13">
        <f t="shared" si="0"/>
        <v>25.696999999999992</v>
      </c>
      <c r="P17" s="13">
        <v>0.61199999999999999</v>
      </c>
      <c r="Q17" s="11">
        <v>750</v>
      </c>
      <c r="R17" s="14">
        <f>IF(R14&gt;0,INT(R16+(R14-F8-R13)*(50/R15)+F38),0)</f>
        <v>0</v>
      </c>
      <c r="S17" s="13">
        <f t="shared" si="18"/>
        <v>57.9</v>
      </c>
      <c r="T17" s="13">
        <v>1.4019999999999999</v>
      </c>
      <c r="U17" s="11">
        <v>750</v>
      </c>
      <c r="V17" s="17">
        <f>IF(V14&gt;0,INT(V16+(V14-F10-V13)*(50/V15)+F38),0)</f>
        <v>0</v>
      </c>
      <c r="W17" s="13">
        <f t="shared" si="1"/>
        <v>133.56</v>
      </c>
      <c r="X17" s="13">
        <v>3.5</v>
      </c>
      <c r="Y17" s="11">
        <v>750</v>
      </c>
      <c r="Z17" s="17"/>
      <c r="AA17" s="13">
        <f t="shared" si="2"/>
        <v>276.02</v>
      </c>
      <c r="AB17" s="13">
        <v>7.45</v>
      </c>
      <c r="AC17" s="11">
        <v>750</v>
      </c>
      <c r="AD17" s="17"/>
      <c r="AE17" s="13">
        <f t="shared" si="3"/>
        <v>597.20000000000005</v>
      </c>
      <c r="AF17" s="13">
        <v>16.899999999999999</v>
      </c>
      <c r="AG17" s="11">
        <v>750</v>
      </c>
      <c r="AH17" s="11"/>
      <c r="AI17" s="13">
        <f t="shared" si="4"/>
        <v>1040.4199999999998</v>
      </c>
      <c r="AJ17" s="13">
        <v>30.4</v>
      </c>
      <c r="AK17" s="11">
        <v>750</v>
      </c>
      <c r="AL17" s="11"/>
      <c r="AM17" s="13">
        <f t="shared" si="5"/>
        <v>2195.5399999999995</v>
      </c>
      <c r="AN17" s="13">
        <v>66.7</v>
      </c>
      <c r="AO17" s="11">
        <v>750</v>
      </c>
      <c r="AP17" s="11"/>
      <c r="AQ17" s="53">
        <v>9.1490000000000009</v>
      </c>
      <c r="AR17" s="35">
        <f t="shared" si="22"/>
        <v>0.25499999999999901</v>
      </c>
      <c r="AS17" s="11">
        <v>750</v>
      </c>
      <c r="AT17" s="34"/>
      <c r="AU17" s="13">
        <f t="shared" si="19"/>
        <v>15.170000000000002</v>
      </c>
      <c r="AV17" s="13">
        <v>0.51</v>
      </c>
      <c r="AW17" s="11">
        <v>750</v>
      </c>
      <c r="AX17" s="14">
        <f>IF(AX14&gt;0,INT(AX16+(AX14-F19-AX13)*(50/AX15)+F38),0)</f>
        <v>0</v>
      </c>
      <c r="AY17" s="51">
        <f t="shared" si="6"/>
        <v>63.132999999999996</v>
      </c>
      <c r="AZ17" s="13">
        <v>1.73</v>
      </c>
      <c r="BA17" s="11">
        <v>750</v>
      </c>
      <c r="BB17" s="14">
        <f>IF(BB14&gt;0,INT(BB16+(BB14-F21-BB13)*(50/BB15)+F38),0)</f>
        <v>0</v>
      </c>
      <c r="BC17" s="13">
        <f t="shared" si="7"/>
        <v>660.70999999999992</v>
      </c>
      <c r="BD17" s="13">
        <v>21.1</v>
      </c>
      <c r="BE17" s="11">
        <v>750</v>
      </c>
      <c r="BF17" s="14"/>
      <c r="BG17" s="13">
        <f t="shared" si="20"/>
        <v>1.4330000000000001</v>
      </c>
      <c r="BH17" s="13">
        <v>5.6000000000000001E-2</v>
      </c>
      <c r="BI17" s="11">
        <v>550</v>
      </c>
      <c r="BJ17" s="14"/>
      <c r="BK17" s="13">
        <f t="shared" si="8"/>
        <v>1.1969999999999996</v>
      </c>
      <c r="BL17" s="13">
        <v>4.3999999999999997E-2</v>
      </c>
      <c r="BM17" s="11">
        <v>550</v>
      </c>
      <c r="BN17" s="11"/>
      <c r="BO17" s="13">
        <f t="shared" si="21"/>
        <v>2.4600000000000004</v>
      </c>
      <c r="BP17" s="13">
        <v>0.21</v>
      </c>
      <c r="BQ17" s="11">
        <v>550</v>
      </c>
      <c r="BR17" s="11"/>
      <c r="BS17" s="13">
        <f t="shared" si="9"/>
        <v>4.6840000000000011</v>
      </c>
      <c r="BT17" s="13">
        <v>0.23</v>
      </c>
      <c r="BU17" s="11">
        <v>550</v>
      </c>
      <c r="BV17" s="11"/>
      <c r="BW17" s="13">
        <f t="shared" si="10"/>
        <v>2.3739999999999997</v>
      </c>
      <c r="BX17" s="13">
        <v>7.5999999999999998E-2</v>
      </c>
      <c r="BY17" s="11">
        <v>550</v>
      </c>
      <c r="BZ17" s="11"/>
      <c r="CA17" s="13">
        <f t="shared" si="11"/>
        <v>9.9129999999999985</v>
      </c>
      <c r="CB17" s="13">
        <v>0.48699999999999999</v>
      </c>
      <c r="CC17" s="11">
        <v>550</v>
      </c>
      <c r="CD17" s="11"/>
      <c r="CE17" s="13">
        <f t="shared" si="12"/>
        <v>9.4479999999999986</v>
      </c>
      <c r="CF17" s="13">
        <v>0.64</v>
      </c>
      <c r="CG17" s="23">
        <v>550</v>
      </c>
      <c r="CH17" s="11"/>
      <c r="CI17" s="13">
        <f t="shared" si="13"/>
        <v>28.049999999999997</v>
      </c>
      <c r="CJ17" s="13">
        <v>3.1</v>
      </c>
      <c r="CK17" s="23">
        <v>550</v>
      </c>
      <c r="CL17" s="11"/>
      <c r="CM17" s="13">
        <f t="shared" si="14"/>
        <v>30.68</v>
      </c>
      <c r="CN17" s="13">
        <v>3.3</v>
      </c>
      <c r="CO17" s="23">
        <v>550</v>
      </c>
      <c r="CP17" s="11"/>
      <c r="CQ17" s="13">
        <f t="shared" si="15"/>
        <v>30.150000000000002</v>
      </c>
      <c r="CR17" s="13">
        <v>3.25</v>
      </c>
      <c r="CS17" s="23">
        <v>550</v>
      </c>
      <c r="CT17" s="11"/>
      <c r="CU17" s="34">
        <v>838</v>
      </c>
      <c r="CV17" s="34">
        <v>26</v>
      </c>
      <c r="CW17" s="11">
        <v>750</v>
      </c>
      <c r="CX17" s="34"/>
      <c r="CY17" s="34">
        <v>1454</v>
      </c>
      <c r="CZ17" s="34">
        <v>44</v>
      </c>
      <c r="DA17" s="11">
        <v>750</v>
      </c>
      <c r="DB17" s="34"/>
      <c r="DC17" s="34"/>
      <c r="DD17" s="64" t="s">
        <v>65</v>
      </c>
      <c r="DE17" s="65"/>
      <c r="DF17" s="65"/>
      <c r="DG17" s="65"/>
      <c r="DH17" s="34"/>
      <c r="DI17" s="34"/>
      <c r="DJ17" s="34"/>
      <c r="DK17" s="52"/>
    </row>
    <row r="18" spans="1:115" ht="12.5" customHeight="1" x14ac:dyDescent="0.35">
      <c r="A18" s="2"/>
      <c r="B18" s="63" t="s">
        <v>58</v>
      </c>
      <c r="C18" s="29"/>
      <c r="D18" s="32" t="str">
        <f>IF(AX5&gt;=0,AX9,"")</f>
        <v/>
      </c>
      <c r="E18" s="20" t="str">
        <f>IF(AX5=1,"Feil i resultat?",IF(AX9=AX10,"",""))</f>
        <v/>
      </c>
      <c r="F18" s="41">
        <f>C18/100</f>
        <v>0</v>
      </c>
      <c r="G18" s="35">
        <v>8.113999999999999</v>
      </c>
      <c r="H18" s="35">
        <f t="shared" si="16"/>
        <v>0.1639999999999997</v>
      </c>
      <c r="I18" s="11">
        <v>700</v>
      </c>
      <c r="J18" s="34"/>
      <c r="K18" s="13">
        <f t="shared" si="17"/>
        <v>12.832000000000001</v>
      </c>
      <c r="L18" s="13">
        <v>0.28000000000000003</v>
      </c>
      <c r="M18" s="11">
        <v>700</v>
      </c>
      <c r="N18" s="14">
        <f>IF(N14&gt;0,INT(N16+(N14-F6-N13)*(50/N15)),0)</f>
        <v>0</v>
      </c>
      <c r="O18" s="13">
        <f t="shared" si="0"/>
        <v>26.334999999999994</v>
      </c>
      <c r="P18" s="13">
        <v>0.63800000000000001</v>
      </c>
      <c r="Q18" s="11">
        <v>700</v>
      </c>
      <c r="R18" s="14">
        <f>IF(R14&gt;0,INT(R16+(R14-F8-R13)*(50/R15)),0)</f>
        <v>0</v>
      </c>
      <c r="S18" s="13">
        <f t="shared" si="18"/>
        <v>59.367999999999995</v>
      </c>
      <c r="T18" s="13">
        <v>1.468</v>
      </c>
      <c r="U18" s="11">
        <v>700</v>
      </c>
      <c r="V18" s="17">
        <f>IF(V14&gt;0,INT(V16+(V14-F10-V13)*(50/V15)),0)</f>
        <v>0</v>
      </c>
      <c r="W18" s="13">
        <f t="shared" si="1"/>
        <v>137.36000000000001</v>
      </c>
      <c r="X18" s="13">
        <v>3.8</v>
      </c>
      <c r="Y18" s="11">
        <v>700</v>
      </c>
      <c r="Z18" s="13"/>
      <c r="AA18" s="13">
        <f t="shared" si="2"/>
        <v>284.12</v>
      </c>
      <c r="AB18" s="13">
        <v>8.1</v>
      </c>
      <c r="AC18" s="11">
        <v>700</v>
      </c>
      <c r="AD18" s="13"/>
      <c r="AE18" s="13">
        <f t="shared" si="3"/>
        <v>615.45000000000005</v>
      </c>
      <c r="AF18" s="13">
        <v>18.25</v>
      </c>
      <c r="AG18" s="11">
        <v>700</v>
      </c>
      <c r="AH18" s="11"/>
      <c r="AI18" s="13">
        <f t="shared" si="4"/>
        <v>1073.1199999999999</v>
      </c>
      <c r="AJ18" s="13">
        <v>32.700000000000003</v>
      </c>
      <c r="AK18" s="11">
        <v>700</v>
      </c>
      <c r="AL18" s="11"/>
      <c r="AM18" s="13">
        <f t="shared" si="5"/>
        <v>2267.2399999999993</v>
      </c>
      <c r="AN18" s="13">
        <v>71.7</v>
      </c>
      <c r="AO18" s="11">
        <v>700</v>
      </c>
      <c r="AP18" s="11"/>
      <c r="AQ18" s="53">
        <v>9.4190000000000005</v>
      </c>
      <c r="AR18" s="35">
        <f t="shared" si="22"/>
        <v>0.26999999999999957</v>
      </c>
      <c r="AS18" s="11">
        <v>700</v>
      </c>
      <c r="AT18" s="34"/>
      <c r="AU18" s="13">
        <f t="shared" si="19"/>
        <v>15.720000000000002</v>
      </c>
      <c r="AV18" s="13">
        <v>0.55000000000000004</v>
      </c>
      <c r="AW18" s="11">
        <v>700</v>
      </c>
      <c r="AX18" s="14">
        <f>IF(AX14&gt;0,INT(AX16+(AX14-F19-AX13)*(50/AX15)),0)</f>
        <v>0</v>
      </c>
      <c r="AY18" s="51">
        <f t="shared" si="6"/>
        <v>64.98299999999999</v>
      </c>
      <c r="AZ18" s="13">
        <v>1.85</v>
      </c>
      <c r="BA18" s="11">
        <v>700</v>
      </c>
      <c r="BB18" s="14">
        <f>IF(BB14&gt;0,INT(BB16+(BB14-F21-BB13)*(50/BB15)),0)</f>
        <v>0</v>
      </c>
      <c r="BC18" s="13">
        <f t="shared" si="7"/>
        <v>683.6099999999999</v>
      </c>
      <c r="BD18" s="13">
        <v>22.9</v>
      </c>
      <c r="BE18" s="11">
        <v>700</v>
      </c>
      <c r="BF18" s="11"/>
      <c r="BG18" s="13">
        <f t="shared" si="20"/>
        <v>1.4890000000000001</v>
      </c>
      <c r="BH18" s="13">
        <v>5.8999999999999997E-2</v>
      </c>
      <c r="BI18" s="11">
        <v>600</v>
      </c>
      <c r="BJ18" s="11"/>
      <c r="BK18" s="13">
        <f t="shared" si="8"/>
        <v>1.2409999999999997</v>
      </c>
      <c r="BL18" s="13">
        <v>4.7E-2</v>
      </c>
      <c r="BM18" s="11">
        <v>600</v>
      </c>
      <c r="BN18" s="11"/>
      <c r="BO18" s="13">
        <f t="shared" si="21"/>
        <v>2.6700000000000004</v>
      </c>
      <c r="BP18" s="13">
        <v>0.22</v>
      </c>
      <c r="BQ18" s="11">
        <v>600</v>
      </c>
      <c r="BR18" s="11"/>
      <c r="BS18" s="13">
        <f t="shared" si="9"/>
        <v>4.9140000000000015</v>
      </c>
      <c r="BT18" s="13">
        <v>0.23</v>
      </c>
      <c r="BU18" s="11">
        <v>600</v>
      </c>
      <c r="BV18" s="11"/>
      <c r="BW18" s="13">
        <f t="shared" si="10"/>
        <v>2.4499999999999997</v>
      </c>
      <c r="BX18" s="13">
        <v>0.08</v>
      </c>
      <c r="BY18" s="11">
        <v>600</v>
      </c>
      <c r="BZ18" s="11"/>
      <c r="CA18" s="13">
        <f t="shared" si="11"/>
        <v>10.399999999999999</v>
      </c>
      <c r="CB18" s="13">
        <v>0.48699999999999999</v>
      </c>
      <c r="CC18" s="11">
        <v>600</v>
      </c>
      <c r="CD18" s="11"/>
      <c r="CE18" s="13">
        <f t="shared" si="12"/>
        <v>10.087999999999999</v>
      </c>
      <c r="CF18" s="13">
        <v>0.76</v>
      </c>
      <c r="CG18" s="23">
        <v>600</v>
      </c>
      <c r="CH18" s="11"/>
      <c r="CI18" s="13">
        <f t="shared" si="13"/>
        <v>31.15</v>
      </c>
      <c r="CJ18" s="13">
        <v>3.4</v>
      </c>
      <c r="CK18" s="23">
        <v>600</v>
      </c>
      <c r="CL18" s="11"/>
      <c r="CM18" s="13">
        <f t="shared" si="14"/>
        <v>33.979999999999997</v>
      </c>
      <c r="CN18" s="13">
        <v>3.5</v>
      </c>
      <c r="CO18" s="23">
        <v>600</v>
      </c>
      <c r="CP18" s="11"/>
      <c r="CQ18" s="13">
        <f t="shared" si="15"/>
        <v>33.400000000000006</v>
      </c>
      <c r="CR18" s="13">
        <v>3.25</v>
      </c>
      <c r="CS18" s="23">
        <v>600</v>
      </c>
      <c r="CT18" s="11"/>
      <c r="CU18" s="34">
        <v>865</v>
      </c>
      <c r="CV18" s="34">
        <v>27</v>
      </c>
      <c r="CW18" s="11">
        <v>700</v>
      </c>
      <c r="CX18" s="34"/>
      <c r="CY18" s="34">
        <v>1501</v>
      </c>
      <c r="CZ18" s="34">
        <v>47</v>
      </c>
      <c r="DA18" s="11">
        <v>700</v>
      </c>
      <c r="DB18" s="34"/>
      <c r="DC18" s="34"/>
      <c r="DD18" s="68" t="s">
        <v>66</v>
      </c>
      <c r="DE18" s="50"/>
      <c r="DF18" s="50"/>
      <c r="DG18" s="50"/>
      <c r="DH18" s="34"/>
      <c r="DI18" s="34"/>
      <c r="DJ18" s="34"/>
      <c r="DK18" s="34"/>
    </row>
    <row r="19" spans="1:115" ht="12.5" customHeight="1" x14ac:dyDescent="0.35">
      <c r="A19" s="2"/>
      <c r="B19" s="63" t="s">
        <v>59</v>
      </c>
      <c r="C19" s="58"/>
      <c r="D19" s="32" t="str">
        <f>IF(AX12&gt;=0,AX17,"")</f>
        <v/>
      </c>
      <c r="E19" s="20" t="str">
        <f>IF(AX12=1,"Feil i resultat?",IF(AX17=AX18,"","Inkonsistent."))</f>
        <v/>
      </c>
      <c r="F19" s="3">
        <f>INT(C19/1000)*60+(C19-INT(C19/1000)*1000)/10</f>
        <v>0</v>
      </c>
      <c r="G19" s="35">
        <v>8.2879999999999985</v>
      </c>
      <c r="H19" s="35">
        <f t="shared" si="16"/>
        <v>0.17399999999999949</v>
      </c>
      <c r="I19" s="11">
        <v>650</v>
      </c>
      <c r="J19" s="34"/>
      <c r="K19" s="13">
        <f t="shared" si="17"/>
        <v>13.123000000000001</v>
      </c>
      <c r="L19" s="13">
        <v>0.29099999999999998</v>
      </c>
      <c r="M19" s="11">
        <v>650</v>
      </c>
      <c r="N19" s="11"/>
      <c r="O19" s="13">
        <f t="shared" si="0"/>
        <v>27.000999999999994</v>
      </c>
      <c r="P19" s="13">
        <v>0.66600000000000004</v>
      </c>
      <c r="Q19" s="11">
        <v>650</v>
      </c>
      <c r="R19" s="11"/>
      <c r="S19" s="13">
        <f t="shared" si="18"/>
        <v>60.925999999999995</v>
      </c>
      <c r="T19" s="13">
        <v>1.5580000000000001</v>
      </c>
      <c r="U19" s="11">
        <v>650</v>
      </c>
      <c r="V19" s="13"/>
      <c r="W19" s="13">
        <f t="shared" si="1"/>
        <v>141.46</v>
      </c>
      <c r="X19" s="13">
        <v>4.0999999999999996</v>
      </c>
      <c r="Y19" s="11">
        <v>650</v>
      </c>
      <c r="Z19" s="13"/>
      <c r="AA19" s="13">
        <f t="shared" si="2"/>
        <v>292.87</v>
      </c>
      <c r="AB19" s="13">
        <v>8.75</v>
      </c>
      <c r="AC19" s="11">
        <v>650</v>
      </c>
      <c r="AD19" s="13"/>
      <c r="AE19" s="13">
        <f t="shared" si="3"/>
        <v>635.05000000000007</v>
      </c>
      <c r="AF19" s="13">
        <v>19.600000000000001</v>
      </c>
      <c r="AG19" s="11">
        <v>650</v>
      </c>
      <c r="AH19" s="11"/>
      <c r="AI19" s="13">
        <f t="shared" si="4"/>
        <v>1108.1199999999999</v>
      </c>
      <c r="AJ19" s="13">
        <v>35</v>
      </c>
      <c r="AK19" s="11">
        <v>650</v>
      </c>
      <c r="AL19" s="11"/>
      <c r="AM19" s="13">
        <f t="shared" si="5"/>
        <v>2343.9399999999991</v>
      </c>
      <c r="AN19" s="13">
        <v>76.7</v>
      </c>
      <c r="AO19" s="11">
        <v>650</v>
      </c>
      <c r="AP19" s="11"/>
      <c r="AQ19" s="53">
        <v>9.7060000000000013</v>
      </c>
      <c r="AR19" s="35">
        <f t="shared" si="22"/>
        <v>0.28700000000000081</v>
      </c>
      <c r="AS19" s="11">
        <v>650</v>
      </c>
      <c r="AT19" s="34"/>
      <c r="AU19" s="13">
        <f t="shared" si="19"/>
        <v>16.312000000000001</v>
      </c>
      <c r="AV19" s="13">
        <v>0.59199999999999997</v>
      </c>
      <c r="AW19" s="11">
        <v>650</v>
      </c>
      <c r="AX19" s="11"/>
      <c r="AY19" s="51">
        <f t="shared" si="6"/>
        <v>67.012999999999991</v>
      </c>
      <c r="AZ19" s="13">
        <v>2.0299999999999998</v>
      </c>
      <c r="BA19" s="11">
        <v>650</v>
      </c>
      <c r="BB19" s="11"/>
      <c r="BC19" s="13">
        <f t="shared" si="7"/>
        <v>708.31</v>
      </c>
      <c r="BD19" s="13">
        <v>24.7</v>
      </c>
      <c r="BE19" s="11">
        <v>650</v>
      </c>
      <c r="BF19" s="11"/>
      <c r="BG19" s="13">
        <f t="shared" si="20"/>
        <v>1.548</v>
      </c>
      <c r="BH19" s="13">
        <v>6.2E-2</v>
      </c>
      <c r="BI19" s="11">
        <v>650</v>
      </c>
      <c r="BJ19" s="11"/>
      <c r="BK19" s="13">
        <f t="shared" si="8"/>
        <v>1.2879999999999996</v>
      </c>
      <c r="BL19" s="13">
        <v>0.05</v>
      </c>
      <c r="BM19" s="11">
        <v>650</v>
      </c>
      <c r="BN19" s="11"/>
      <c r="BO19" s="13">
        <f t="shared" si="21"/>
        <v>2.8900000000000006</v>
      </c>
      <c r="BP19" s="13">
        <v>0.23</v>
      </c>
      <c r="BQ19" s="11">
        <v>650</v>
      </c>
      <c r="BR19" s="11"/>
      <c r="BS19" s="13">
        <f t="shared" si="9"/>
        <v>5.1440000000000019</v>
      </c>
      <c r="BT19" s="13">
        <v>0.23</v>
      </c>
      <c r="BU19" s="11">
        <v>650</v>
      </c>
      <c r="BV19" s="11"/>
      <c r="BW19" s="13">
        <f t="shared" si="10"/>
        <v>2.5299999999999998</v>
      </c>
      <c r="BX19" s="13">
        <v>8.8999999999999996E-2</v>
      </c>
      <c r="BY19" s="11">
        <v>650</v>
      </c>
      <c r="BZ19" s="11"/>
      <c r="CA19" s="13">
        <f t="shared" si="11"/>
        <v>10.886999999999999</v>
      </c>
      <c r="CB19" s="13">
        <v>0.48699999999999999</v>
      </c>
      <c r="CC19" s="11">
        <v>650</v>
      </c>
      <c r="CD19" s="11"/>
      <c r="CE19" s="13">
        <f t="shared" si="12"/>
        <v>10.847999999999999</v>
      </c>
      <c r="CF19" s="13">
        <v>0.89</v>
      </c>
      <c r="CG19" s="23">
        <v>650</v>
      </c>
      <c r="CH19" s="11"/>
      <c r="CI19" s="13">
        <f t="shared" si="13"/>
        <v>34.549999999999997</v>
      </c>
      <c r="CJ19" s="13">
        <v>3.6</v>
      </c>
      <c r="CK19" s="23">
        <v>650</v>
      </c>
      <c r="CL19" s="11"/>
      <c r="CM19" s="13">
        <f t="shared" si="14"/>
        <v>37.479999999999997</v>
      </c>
      <c r="CN19" s="13">
        <v>3.7</v>
      </c>
      <c r="CO19" s="23">
        <v>650</v>
      </c>
      <c r="CP19" s="11"/>
      <c r="CQ19" s="13">
        <f t="shared" si="15"/>
        <v>36.650000000000006</v>
      </c>
      <c r="CR19" s="13">
        <v>3.25</v>
      </c>
      <c r="CS19" s="23">
        <v>650</v>
      </c>
      <c r="CT19" s="11"/>
      <c r="CU19" s="34">
        <v>894</v>
      </c>
      <c r="CV19" s="34">
        <v>29</v>
      </c>
      <c r="CW19" s="11">
        <v>650</v>
      </c>
      <c r="CX19" s="34"/>
      <c r="CY19" s="34">
        <v>1552</v>
      </c>
      <c r="CZ19" s="34">
        <v>51</v>
      </c>
      <c r="DA19" s="11">
        <v>650</v>
      </c>
      <c r="DB19" s="34"/>
      <c r="DC19" s="34"/>
      <c r="DD19" s="50"/>
      <c r="DE19" s="50"/>
      <c r="DF19" s="50"/>
      <c r="DG19" s="50"/>
      <c r="DH19" s="34"/>
      <c r="DI19" s="34"/>
      <c r="DJ19" s="34"/>
      <c r="DK19" s="34"/>
    </row>
    <row r="20" spans="1:115" ht="12.5" customHeight="1" x14ac:dyDescent="0.35">
      <c r="A20" s="2"/>
      <c r="B20" s="45" t="s">
        <v>43</v>
      </c>
      <c r="C20" s="29"/>
      <c r="D20" s="32" t="str">
        <f>IF(BB5&gt;=0,BB9,"")</f>
        <v/>
      </c>
      <c r="E20" s="20" t="str">
        <f>IF(BB5=1,"Feil i resultat?",IF(BB9=BB10,"","Inkonsistent."))</f>
        <v/>
      </c>
      <c r="F20" s="3">
        <f>INT(C20/10000)*60+(C20-INT(C20/10000)*10000)/100</f>
        <v>0</v>
      </c>
      <c r="G20" s="35">
        <v>8.4739999999999984</v>
      </c>
      <c r="H20" s="35">
        <f t="shared" si="16"/>
        <v>0.18599999999999994</v>
      </c>
      <c r="I20" s="11">
        <v>600</v>
      </c>
      <c r="J20" s="34"/>
      <c r="K20" s="13">
        <f t="shared" si="17"/>
        <v>13.426000000000002</v>
      </c>
      <c r="L20" s="13">
        <v>0.30299999999999999</v>
      </c>
      <c r="M20" s="11">
        <v>600</v>
      </c>
      <c r="N20" s="11"/>
      <c r="O20" s="13">
        <f t="shared" si="0"/>
        <v>27.697999999999993</v>
      </c>
      <c r="P20" s="13">
        <v>0.69699999999999995</v>
      </c>
      <c r="Q20" s="11">
        <v>600</v>
      </c>
      <c r="R20" s="11"/>
      <c r="S20" s="13">
        <f t="shared" si="18"/>
        <v>62.613999999999997</v>
      </c>
      <c r="T20" s="13">
        <v>1.6879999999999999</v>
      </c>
      <c r="U20" s="11">
        <v>600</v>
      </c>
      <c r="V20" s="13"/>
      <c r="W20" s="13">
        <f t="shared" si="1"/>
        <v>145.94</v>
      </c>
      <c r="X20" s="13">
        <v>4.4800000000000004</v>
      </c>
      <c r="Y20" s="11">
        <v>600</v>
      </c>
      <c r="Z20" s="13"/>
      <c r="AA20" s="13">
        <f t="shared" si="2"/>
        <v>302.27</v>
      </c>
      <c r="AB20" s="13">
        <v>9.4</v>
      </c>
      <c r="AC20" s="11">
        <v>600</v>
      </c>
      <c r="AD20" s="13"/>
      <c r="AE20" s="13">
        <f t="shared" si="3"/>
        <v>656.00000000000011</v>
      </c>
      <c r="AF20" s="13">
        <v>20.95</v>
      </c>
      <c r="AG20" s="11">
        <v>600</v>
      </c>
      <c r="AH20" s="11"/>
      <c r="AI20" s="13">
        <f t="shared" si="4"/>
        <v>1145.4199999999998</v>
      </c>
      <c r="AJ20" s="13">
        <v>37.299999999999997</v>
      </c>
      <c r="AK20" s="11">
        <v>600</v>
      </c>
      <c r="AL20" s="11"/>
      <c r="AM20" s="13">
        <f t="shared" si="5"/>
        <v>2425.639999999999</v>
      </c>
      <c r="AN20" s="13">
        <v>81.7</v>
      </c>
      <c r="AO20" s="11">
        <v>600</v>
      </c>
      <c r="AP20" s="11"/>
      <c r="AQ20" s="53">
        <v>10.012</v>
      </c>
      <c r="AR20" s="35">
        <f t="shared" si="22"/>
        <v>0.30599999999999916</v>
      </c>
      <c r="AS20" s="11">
        <v>600</v>
      </c>
      <c r="AT20" s="34"/>
      <c r="AU20" s="13">
        <f t="shared" si="19"/>
        <v>16.948</v>
      </c>
      <c r="AV20" s="13">
        <v>0.63600000000000001</v>
      </c>
      <c r="AW20" s="11">
        <v>600</v>
      </c>
      <c r="AX20" s="11"/>
      <c r="AY20" s="51">
        <f t="shared" si="6"/>
        <v>69.362999999999985</v>
      </c>
      <c r="AZ20" s="13">
        <v>2.35</v>
      </c>
      <c r="BA20" s="11">
        <v>600</v>
      </c>
      <c r="BB20" s="11"/>
      <c r="BC20" s="13">
        <f t="shared" si="7"/>
        <v>734.81</v>
      </c>
      <c r="BD20" s="13">
        <v>26.5</v>
      </c>
      <c r="BE20" s="11">
        <v>600</v>
      </c>
      <c r="BF20" s="11"/>
      <c r="BG20" s="13">
        <f t="shared" si="20"/>
        <v>1.61</v>
      </c>
      <c r="BH20" s="13">
        <v>6.2E-2</v>
      </c>
      <c r="BI20" s="11">
        <v>700</v>
      </c>
      <c r="BJ20" s="11"/>
      <c r="BK20" s="13">
        <f t="shared" si="8"/>
        <v>1.3379999999999996</v>
      </c>
      <c r="BL20" s="13">
        <v>4.8000000000000001E-2</v>
      </c>
      <c r="BM20" s="11">
        <v>700</v>
      </c>
      <c r="BN20" s="11"/>
      <c r="BO20" s="13">
        <f t="shared" si="21"/>
        <v>3.1200000000000006</v>
      </c>
      <c r="BP20" s="13">
        <v>0.23</v>
      </c>
      <c r="BQ20" s="11">
        <v>700</v>
      </c>
      <c r="BR20" s="11"/>
      <c r="BS20" s="13">
        <f t="shared" si="9"/>
        <v>5.3740000000000023</v>
      </c>
      <c r="BT20" s="13">
        <v>0.22</v>
      </c>
      <c r="BU20" s="11">
        <v>700</v>
      </c>
      <c r="BV20" s="11"/>
      <c r="BW20" s="13">
        <f t="shared" si="10"/>
        <v>2.6189999999999998</v>
      </c>
      <c r="BX20" s="13">
        <v>0.08</v>
      </c>
      <c r="BY20" s="11">
        <v>700</v>
      </c>
      <c r="BZ20" s="11"/>
      <c r="CA20" s="13">
        <f t="shared" si="11"/>
        <v>11.373999999999999</v>
      </c>
      <c r="CB20" s="13">
        <v>0.46600000000000003</v>
      </c>
      <c r="CC20" s="11">
        <v>700</v>
      </c>
      <c r="CD20" s="11"/>
      <c r="CE20" s="13">
        <f t="shared" si="12"/>
        <v>11.738</v>
      </c>
      <c r="CF20" s="13">
        <v>0.98199999999999998</v>
      </c>
      <c r="CG20" s="23">
        <v>700</v>
      </c>
      <c r="CH20" s="11"/>
      <c r="CI20" s="13">
        <f t="shared" si="13"/>
        <v>38.15</v>
      </c>
      <c r="CJ20" s="13">
        <v>3.65</v>
      </c>
      <c r="CK20" s="23">
        <v>700</v>
      </c>
      <c r="CL20" s="11"/>
      <c r="CM20" s="13">
        <f t="shared" si="14"/>
        <v>41.18</v>
      </c>
      <c r="CN20" s="13">
        <v>3.9</v>
      </c>
      <c r="CO20" s="23">
        <v>700</v>
      </c>
      <c r="CP20" s="11"/>
      <c r="CQ20" s="13">
        <f t="shared" si="15"/>
        <v>39.900000000000006</v>
      </c>
      <c r="CR20" s="13">
        <v>3.25</v>
      </c>
      <c r="CS20" s="23">
        <v>700</v>
      </c>
      <c r="CT20" s="11"/>
      <c r="CU20" s="34">
        <v>926</v>
      </c>
      <c r="CV20" s="34">
        <v>32</v>
      </c>
      <c r="CW20" s="11">
        <v>600</v>
      </c>
      <c r="CX20" s="34"/>
      <c r="CY20" s="34">
        <v>1606</v>
      </c>
      <c r="CZ20" s="34">
        <v>54</v>
      </c>
      <c r="DA20" s="11">
        <v>600</v>
      </c>
      <c r="DB20" s="34"/>
      <c r="DC20" s="34"/>
      <c r="DD20" s="50"/>
      <c r="DE20" s="50"/>
      <c r="DF20" s="50"/>
      <c r="DG20" s="50"/>
      <c r="DH20" s="34"/>
      <c r="DI20" s="34"/>
      <c r="DJ20" s="34"/>
      <c r="DK20" s="34"/>
    </row>
    <row r="21" spans="1:115" ht="12.5" customHeight="1" x14ac:dyDescent="0.35">
      <c r="A21" s="2"/>
      <c r="B21" s="45" t="s">
        <v>44</v>
      </c>
      <c r="C21" s="57"/>
      <c r="D21" s="32" t="str">
        <f>IF(BB12&gt;=0,BB17,"")</f>
        <v/>
      </c>
      <c r="E21" s="20" t="str">
        <f>IF(BB12=1,"Feil i resultat?",IF(BB17=BB18,"","Inkonsistent."))</f>
        <v/>
      </c>
      <c r="F21" s="21">
        <f>INT(C21/1000)*60+(C21-INT(C21/1000)*1000)/10</f>
        <v>0</v>
      </c>
      <c r="G21" s="35">
        <v>8.6719999999999988</v>
      </c>
      <c r="H21" s="35">
        <f t="shared" si="16"/>
        <v>0.1980000000000004</v>
      </c>
      <c r="I21" s="11">
        <v>550</v>
      </c>
      <c r="J21" s="34"/>
      <c r="K21" s="13">
        <f t="shared" si="17"/>
        <v>13.742000000000003</v>
      </c>
      <c r="L21" s="13">
        <v>0.316</v>
      </c>
      <c r="M21" s="11">
        <v>550</v>
      </c>
      <c r="N21" s="11"/>
      <c r="O21" s="13">
        <f t="shared" si="0"/>
        <v>28.429999999999993</v>
      </c>
      <c r="P21" s="13">
        <v>0.73199999999999998</v>
      </c>
      <c r="Q21" s="11">
        <v>550</v>
      </c>
      <c r="R21" s="11"/>
      <c r="S21" s="13">
        <f t="shared" si="18"/>
        <v>64.49799999999999</v>
      </c>
      <c r="T21" s="13">
        <v>1.8839999999999999</v>
      </c>
      <c r="U21" s="11">
        <v>550</v>
      </c>
      <c r="V21" s="13"/>
      <c r="W21" s="13">
        <f t="shared" si="1"/>
        <v>150.80000000000001</v>
      </c>
      <c r="X21" s="13">
        <v>4.8600000000000003</v>
      </c>
      <c r="Y21" s="11">
        <v>550</v>
      </c>
      <c r="Z21" s="13"/>
      <c r="AA21" s="13">
        <f t="shared" si="2"/>
        <v>312.32</v>
      </c>
      <c r="AB21" s="13">
        <v>10.050000000000001</v>
      </c>
      <c r="AC21" s="11">
        <v>550</v>
      </c>
      <c r="AD21" s="13"/>
      <c r="AE21" s="13">
        <f t="shared" si="3"/>
        <v>678.30000000000007</v>
      </c>
      <c r="AF21" s="13">
        <v>22.3</v>
      </c>
      <c r="AG21" s="11">
        <v>550</v>
      </c>
      <c r="AH21" s="11"/>
      <c r="AI21" s="13">
        <f t="shared" si="4"/>
        <v>1185.0199999999998</v>
      </c>
      <c r="AJ21" s="13">
        <v>39.6</v>
      </c>
      <c r="AK21" s="11">
        <v>550</v>
      </c>
      <c r="AL21" s="11"/>
      <c r="AM21" s="13">
        <f t="shared" si="5"/>
        <v>2512.3399999999988</v>
      </c>
      <c r="AN21" s="13">
        <v>86.7</v>
      </c>
      <c r="AO21" s="11">
        <v>550</v>
      </c>
      <c r="AP21" s="11"/>
      <c r="AQ21" s="53">
        <v>10.337000000000002</v>
      </c>
      <c r="AR21" s="35">
        <f t="shared" si="22"/>
        <v>0.32500000000000107</v>
      </c>
      <c r="AS21" s="11">
        <v>550</v>
      </c>
      <c r="AT21" s="34"/>
      <c r="AU21" s="13">
        <f t="shared" si="19"/>
        <v>17.63</v>
      </c>
      <c r="AV21" s="13">
        <v>0.68200000000000005</v>
      </c>
      <c r="AW21" s="11">
        <v>550</v>
      </c>
      <c r="AX21" s="11"/>
      <c r="AY21" s="51">
        <f t="shared" si="6"/>
        <v>72.362999999999985</v>
      </c>
      <c r="AZ21" s="13">
        <v>3</v>
      </c>
      <c r="BA21" s="11">
        <v>550</v>
      </c>
      <c r="BB21" s="11"/>
      <c r="BC21" s="13">
        <f t="shared" si="7"/>
        <v>763.1099999999999</v>
      </c>
      <c r="BD21" s="13">
        <v>28.3</v>
      </c>
      <c r="BE21" s="11">
        <v>550</v>
      </c>
      <c r="BF21" s="11"/>
      <c r="BG21" s="13">
        <f t="shared" si="20"/>
        <v>1.6720000000000002</v>
      </c>
      <c r="BH21" s="13">
        <v>5.8999999999999997E-2</v>
      </c>
      <c r="BI21" s="11">
        <v>750</v>
      </c>
      <c r="BJ21" s="11"/>
      <c r="BK21" s="13">
        <f t="shared" si="8"/>
        <v>1.3859999999999997</v>
      </c>
      <c r="BL21" s="13">
        <v>4.4999999999999998E-2</v>
      </c>
      <c r="BM21" s="11">
        <v>750</v>
      </c>
      <c r="BN21" s="11"/>
      <c r="BO21" s="13">
        <f t="shared" si="21"/>
        <v>3.3500000000000005</v>
      </c>
      <c r="BP21" s="13">
        <v>0.22</v>
      </c>
      <c r="BQ21" s="11">
        <v>750</v>
      </c>
      <c r="BR21" s="11"/>
      <c r="BS21" s="13">
        <f t="shared" si="9"/>
        <v>5.5940000000000021</v>
      </c>
      <c r="BT21" s="13">
        <v>0.22</v>
      </c>
      <c r="BU21" s="11">
        <v>750</v>
      </c>
      <c r="BV21" s="11"/>
      <c r="BW21" s="13">
        <f t="shared" si="10"/>
        <v>2.6989999999999998</v>
      </c>
      <c r="BX21" s="13">
        <v>7.3999999999999996E-2</v>
      </c>
      <c r="BY21" s="11">
        <v>750</v>
      </c>
      <c r="BZ21" s="11"/>
      <c r="CA21" s="13">
        <f t="shared" si="11"/>
        <v>11.839999999999998</v>
      </c>
      <c r="CB21" s="13">
        <v>0.46600000000000003</v>
      </c>
      <c r="CC21" s="11">
        <v>750</v>
      </c>
      <c r="CD21" s="11"/>
      <c r="CE21" s="13">
        <f t="shared" si="12"/>
        <v>12.719999999999999</v>
      </c>
      <c r="CF21" s="13">
        <v>1.042</v>
      </c>
      <c r="CG21" s="23">
        <v>750</v>
      </c>
      <c r="CH21" s="11"/>
      <c r="CI21" s="13">
        <f t="shared" si="13"/>
        <v>41.8</v>
      </c>
      <c r="CJ21" s="13">
        <v>3.65</v>
      </c>
      <c r="CK21" s="23">
        <v>750</v>
      </c>
      <c r="CL21" s="11"/>
      <c r="CM21" s="13">
        <f t="shared" si="14"/>
        <v>45.08</v>
      </c>
      <c r="CN21" s="13">
        <v>4.0999999999999996</v>
      </c>
      <c r="CO21" s="23">
        <v>750</v>
      </c>
      <c r="CP21" s="11"/>
      <c r="CQ21" s="13">
        <f t="shared" si="15"/>
        <v>43.150000000000006</v>
      </c>
      <c r="CR21" s="13">
        <v>3.25</v>
      </c>
      <c r="CS21" s="23">
        <v>750</v>
      </c>
      <c r="CT21" s="11"/>
      <c r="CU21" s="34">
        <v>959</v>
      </c>
      <c r="CV21" s="34">
        <v>33</v>
      </c>
      <c r="CW21" s="11">
        <v>550</v>
      </c>
      <c r="CX21" s="34"/>
      <c r="CY21" s="34">
        <v>1664</v>
      </c>
      <c r="CZ21" s="34">
        <v>58</v>
      </c>
      <c r="DA21" s="11">
        <v>550</v>
      </c>
      <c r="DB21" s="34"/>
      <c r="DC21" s="34"/>
      <c r="DD21" s="50"/>
      <c r="DE21" s="50"/>
      <c r="DF21" s="50"/>
      <c r="DG21" s="50"/>
      <c r="DH21" s="34"/>
      <c r="DI21" s="34"/>
      <c r="DJ21" s="34"/>
      <c r="DK21" s="34"/>
    </row>
    <row r="22" spans="1:115" ht="12.5" customHeight="1" x14ac:dyDescent="0.35">
      <c r="A22" s="2"/>
      <c r="B22" s="77" t="s">
        <v>45</v>
      </c>
      <c r="C22" s="29"/>
      <c r="D22" s="32" t="str">
        <f>IF(BF5&gt;=0,BF9,"")</f>
        <v/>
      </c>
      <c r="E22" s="20" t="str">
        <f>IF(BF5=1,"Feil i resultat?",IF(BF9=BF10,"",""))</f>
        <v/>
      </c>
      <c r="F22" s="3">
        <f>INT(C22/10000)*60+(C22-INT(C22/10000)*10000)/100</f>
        <v>0</v>
      </c>
      <c r="G22" s="35">
        <v>8.8819999999999997</v>
      </c>
      <c r="H22" s="35">
        <f t="shared" si="16"/>
        <v>0.21000000000000085</v>
      </c>
      <c r="I22" s="11">
        <v>500</v>
      </c>
      <c r="J22" s="34"/>
      <c r="K22" s="13">
        <f t="shared" si="17"/>
        <v>14.072000000000003</v>
      </c>
      <c r="L22" s="13">
        <v>0.33</v>
      </c>
      <c r="M22" s="11">
        <v>500</v>
      </c>
      <c r="N22" s="11"/>
      <c r="O22" s="13">
        <f t="shared" si="0"/>
        <v>29.201999999999991</v>
      </c>
      <c r="P22" s="13">
        <v>0.77200000000000002</v>
      </c>
      <c r="Q22" s="11">
        <v>500</v>
      </c>
      <c r="R22" s="11"/>
      <c r="S22" s="13">
        <f t="shared" si="18"/>
        <v>66.577999999999989</v>
      </c>
      <c r="T22" s="13">
        <v>2.08</v>
      </c>
      <c r="U22" s="11">
        <v>500</v>
      </c>
      <c r="V22" s="13"/>
      <c r="W22" s="13">
        <f t="shared" si="1"/>
        <v>156.04000000000002</v>
      </c>
      <c r="X22" s="13">
        <v>5.24</v>
      </c>
      <c r="Y22" s="11">
        <v>500</v>
      </c>
      <c r="Z22" s="13"/>
      <c r="AA22" s="13">
        <f t="shared" si="2"/>
        <v>323.02</v>
      </c>
      <c r="AB22" s="13">
        <v>10.7</v>
      </c>
      <c r="AC22" s="11">
        <v>500</v>
      </c>
      <c r="AD22" s="13"/>
      <c r="AE22" s="13">
        <f t="shared" si="3"/>
        <v>701.95</v>
      </c>
      <c r="AF22" s="13">
        <v>23.65</v>
      </c>
      <c r="AG22" s="11">
        <v>500</v>
      </c>
      <c r="AH22" s="11"/>
      <c r="AI22" s="13">
        <f t="shared" si="4"/>
        <v>1226.9199999999998</v>
      </c>
      <c r="AJ22" s="13">
        <v>41.9</v>
      </c>
      <c r="AK22" s="11">
        <v>500</v>
      </c>
      <c r="AL22" s="11"/>
      <c r="AM22" s="13">
        <f t="shared" si="5"/>
        <v>2604.0399999999986</v>
      </c>
      <c r="AN22" s="13">
        <v>91.7</v>
      </c>
      <c r="AO22" s="11">
        <v>500</v>
      </c>
      <c r="AP22" s="11"/>
      <c r="AQ22" s="53">
        <v>10.681000000000003</v>
      </c>
      <c r="AR22" s="35">
        <f t="shared" si="22"/>
        <v>0.34400000000000119</v>
      </c>
      <c r="AS22" s="11">
        <v>500</v>
      </c>
      <c r="AT22" s="34"/>
      <c r="AU22" s="13">
        <f t="shared" si="19"/>
        <v>18.36</v>
      </c>
      <c r="AV22" s="13">
        <v>0.73</v>
      </c>
      <c r="AW22" s="11">
        <v>500</v>
      </c>
      <c r="AX22" s="11"/>
      <c r="AY22" s="51">
        <f t="shared" si="6"/>
        <v>76.062999999999988</v>
      </c>
      <c r="AZ22" s="13">
        <v>3.7</v>
      </c>
      <c r="BA22" s="11">
        <v>500</v>
      </c>
      <c r="BB22" s="11"/>
      <c r="BC22" s="13">
        <f t="shared" si="7"/>
        <v>793.20999999999992</v>
      </c>
      <c r="BD22" s="13">
        <v>30.1</v>
      </c>
      <c r="BE22" s="11">
        <v>500</v>
      </c>
      <c r="BF22" s="11"/>
      <c r="BG22" s="13">
        <f t="shared" si="20"/>
        <v>1.7310000000000001</v>
      </c>
      <c r="BH22" s="13">
        <v>5.6000000000000001E-2</v>
      </c>
      <c r="BI22" s="11">
        <v>800</v>
      </c>
      <c r="BJ22" s="11"/>
      <c r="BK22" s="13">
        <f t="shared" si="8"/>
        <v>1.4309999999999996</v>
      </c>
      <c r="BL22" s="13">
        <v>4.2000000000000003E-2</v>
      </c>
      <c r="BM22" s="11">
        <v>800</v>
      </c>
      <c r="BN22" s="11"/>
      <c r="BO22" s="13">
        <f t="shared" si="21"/>
        <v>3.5700000000000007</v>
      </c>
      <c r="BP22" s="13">
        <v>0.22</v>
      </c>
      <c r="BQ22" s="11">
        <v>800</v>
      </c>
      <c r="BR22" s="11"/>
      <c r="BS22" s="13">
        <f t="shared" si="9"/>
        <v>5.8140000000000018</v>
      </c>
      <c r="BT22" s="13">
        <v>0.22</v>
      </c>
      <c r="BU22" s="11">
        <v>800</v>
      </c>
      <c r="BV22" s="11"/>
      <c r="BW22" s="13">
        <f t="shared" si="10"/>
        <v>2.7729999999999997</v>
      </c>
      <c r="BX22" s="13">
        <v>7.0000000000000007E-2</v>
      </c>
      <c r="BY22" s="11">
        <v>800</v>
      </c>
      <c r="BZ22" s="11"/>
      <c r="CA22" s="13">
        <f t="shared" si="11"/>
        <v>12.305999999999997</v>
      </c>
      <c r="CB22" s="13">
        <v>0.46600000000000003</v>
      </c>
      <c r="CC22" s="11">
        <v>800</v>
      </c>
      <c r="CD22" s="11"/>
      <c r="CE22" s="13">
        <f t="shared" si="12"/>
        <v>13.761999999999999</v>
      </c>
      <c r="CF22" s="13">
        <v>1.0780000000000001</v>
      </c>
      <c r="CG22" s="23">
        <v>800</v>
      </c>
      <c r="CH22" s="11"/>
      <c r="CI22" s="13">
        <f t="shared" si="13"/>
        <v>45.449999999999996</v>
      </c>
      <c r="CJ22" s="13">
        <v>3.65</v>
      </c>
      <c r="CK22" s="23">
        <v>800</v>
      </c>
      <c r="CL22" s="11"/>
      <c r="CM22" s="13">
        <f t="shared" si="14"/>
        <v>49.18</v>
      </c>
      <c r="CN22" s="13">
        <v>4.2300000000000004</v>
      </c>
      <c r="CO22" s="23">
        <v>800</v>
      </c>
      <c r="CP22" s="11"/>
      <c r="CQ22" s="13">
        <f t="shared" si="15"/>
        <v>46.400000000000006</v>
      </c>
      <c r="CR22" s="13">
        <v>3.25</v>
      </c>
      <c r="CS22" s="23">
        <v>800</v>
      </c>
      <c r="CT22" s="11"/>
      <c r="CU22" s="34">
        <v>994</v>
      </c>
      <c r="CV22" s="34">
        <v>35</v>
      </c>
      <c r="CW22" s="11">
        <v>500</v>
      </c>
      <c r="CX22" s="34"/>
      <c r="CY22" s="34">
        <v>1725</v>
      </c>
      <c r="CZ22" s="34">
        <v>61</v>
      </c>
      <c r="DA22" s="11">
        <v>500</v>
      </c>
      <c r="DB22" s="34"/>
      <c r="DC22" s="34"/>
      <c r="DD22" s="50"/>
      <c r="DE22" s="50"/>
      <c r="DF22" s="50"/>
      <c r="DG22" s="50"/>
      <c r="DH22" s="34"/>
      <c r="DI22" s="34"/>
      <c r="DJ22" s="34"/>
      <c r="DK22" s="34"/>
    </row>
    <row r="23" spans="1:115" ht="12.5" customHeight="1" x14ac:dyDescent="0.35">
      <c r="A23" s="2"/>
      <c r="B23" s="78"/>
      <c r="C23" s="30"/>
      <c r="D23" s="31"/>
      <c r="E23" s="20"/>
      <c r="F23" s="21"/>
      <c r="G23" s="35">
        <v>9.1039999999999992</v>
      </c>
      <c r="H23" s="35">
        <f t="shared" si="16"/>
        <v>0.22199999999999953</v>
      </c>
      <c r="I23" s="11">
        <v>450</v>
      </c>
      <c r="J23" s="34"/>
      <c r="K23" s="13">
        <f t="shared" si="17"/>
        <v>14.418000000000003</v>
      </c>
      <c r="L23" s="13">
        <v>0.34599999999999997</v>
      </c>
      <c r="M23" s="11">
        <v>450</v>
      </c>
      <c r="N23" s="11"/>
      <c r="O23" s="13">
        <f t="shared" si="0"/>
        <v>30.019999999999992</v>
      </c>
      <c r="P23" s="13">
        <v>0.81799999999999995</v>
      </c>
      <c r="Q23" s="11">
        <v>450</v>
      </c>
      <c r="R23" s="11"/>
      <c r="S23" s="13">
        <f t="shared" si="18"/>
        <v>68.85799999999999</v>
      </c>
      <c r="T23" s="13">
        <v>2.2799999999999998</v>
      </c>
      <c r="U23" s="11">
        <v>450</v>
      </c>
      <c r="V23" s="13"/>
      <c r="W23" s="13">
        <f t="shared" si="1"/>
        <v>161.66000000000003</v>
      </c>
      <c r="X23" s="13">
        <v>5.62</v>
      </c>
      <c r="Y23" s="11">
        <v>450</v>
      </c>
      <c r="Z23" s="13"/>
      <c r="AA23" s="13">
        <f t="shared" si="2"/>
        <v>334.37</v>
      </c>
      <c r="AB23" s="13">
        <v>11.35</v>
      </c>
      <c r="AC23" s="11">
        <v>450</v>
      </c>
      <c r="AD23" s="13"/>
      <c r="AE23" s="13">
        <f t="shared" si="3"/>
        <v>726.95</v>
      </c>
      <c r="AF23" s="13">
        <v>25</v>
      </c>
      <c r="AG23" s="11">
        <v>450</v>
      </c>
      <c r="AH23" s="11"/>
      <c r="AI23" s="13">
        <f t="shared" si="4"/>
        <v>1271.1199999999999</v>
      </c>
      <c r="AJ23" s="13">
        <v>44.2</v>
      </c>
      <c r="AK23" s="11">
        <v>450</v>
      </c>
      <c r="AL23" s="11"/>
      <c r="AM23" s="13">
        <f t="shared" si="5"/>
        <v>2700.7399999999984</v>
      </c>
      <c r="AN23" s="13">
        <v>96.7</v>
      </c>
      <c r="AO23" s="11">
        <v>450</v>
      </c>
      <c r="AP23" s="11"/>
      <c r="AQ23" s="53">
        <v>11.043000000000001</v>
      </c>
      <c r="AR23" s="35">
        <f t="shared" si="22"/>
        <v>0.36199999999999832</v>
      </c>
      <c r="AS23" s="11">
        <v>450</v>
      </c>
      <c r="AT23" s="34"/>
      <c r="AU23" s="13">
        <f t="shared" si="19"/>
        <v>19.141999999999999</v>
      </c>
      <c r="AV23" s="13">
        <v>0.78200000000000003</v>
      </c>
      <c r="AW23" s="11">
        <v>450</v>
      </c>
      <c r="AX23" s="11"/>
      <c r="AY23" s="51">
        <f t="shared" si="6"/>
        <v>80.062999999999988</v>
      </c>
      <c r="AZ23" s="13">
        <v>4</v>
      </c>
      <c r="BA23" s="11">
        <v>450</v>
      </c>
      <c r="BB23" s="11"/>
      <c r="BC23" s="13">
        <f t="shared" si="7"/>
        <v>825.1099999999999</v>
      </c>
      <c r="BD23" s="13">
        <v>31.9</v>
      </c>
      <c r="BE23" s="11">
        <v>450</v>
      </c>
      <c r="BF23" s="11"/>
      <c r="BG23" s="13">
        <f t="shared" si="20"/>
        <v>1.7870000000000001</v>
      </c>
      <c r="BH23" s="13">
        <v>5.2999999999999999E-2</v>
      </c>
      <c r="BI23" s="11">
        <v>850</v>
      </c>
      <c r="BJ23" s="11"/>
      <c r="BK23" s="13">
        <f t="shared" si="8"/>
        <v>1.4729999999999996</v>
      </c>
      <c r="BL23" s="13">
        <v>4.2000000000000003E-2</v>
      </c>
      <c r="BM23" s="11">
        <v>850</v>
      </c>
      <c r="BN23" s="11"/>
      <c r="BO23" s="13">
        <f t="shared" si="21"/>
        <v>3.7900000000000009</v>
      </c>
      <c r="BP23" s="13">
        <v>0.21</v>
      </c>
      <c r="BQ23" s="11">
        <v>850</v>
      </c>
      <c r="BR23" s="11"/>
      <c r="BS23" s="13">
        <f t="shared" si="9"/>
        <v>6.0340000000000016</v>
      </c>
      <c r="BT23" s="13">
        <v>0.22</v>
      </c>
      <c r="BU23" s="11">
        <v>850</v>
      </c>
      <c r="BV23" s="11"/>
      <c r="BW23" s="13">
        <f t="shared" si="10"/>
        <v>2.8429999999999995</v>
      </c>
      <c r="BX23" s="13">
        <v>7.0000000000000007E-2</v>
      </c>
      <c r="BY23" s="11">
        <v>850</v>
      </c>
      <c r="BZ23" s="11"/>
      <c r="CA23" s="13">
        <f t="shared" si="11"/>
        <v>12.771999999999997</v>
      </c>
      <c r="CB23" s="13">
        <v>0.46600000000000003</v>
      </c>
      <c r="CC23" s="11">
        <v>850</v>
      </c>
      <c r="CD23" s="11"/>
      <c r="CE23" s="13">
        <f t="shared" si="12"/>
        <v>14.839999999999998</v>
      </c>
      <c r="CF23" s="13">
        <v>1.0980000000000001</v>
      </c>
      <c r="CG23" s="23">
        <v>850</v>
      </c>
      <c r="CH23" s="11"/>
      <c r="CI23" s="13">
        <f t="shared" si="13"/>
        <v>49.099999999999994</v>
      </c>
      <c r="CJ23" s="13">
        <v>3.65</v>
      </c>
      <c r="CK23" s="23">
        <v>850</v>
      </c>
      <c r="CL23" s="11"/>
      <c r="CM23" s="13">
        <f t="shared" si="14"/>
        <v>53.41</v>
      </c>
      <c r="CN23" s="13">
        <v>4.33</v>
      </c>
      <c r="CO23" s="23">
        <v>850</v>
      </c>
      <c r="CP23" s="11"/>
      <c r="CQ23" s="13">
        <f t="shared" si="15"/>
        <v>49.650000000000006</v>
      </c>
      <c r="CR23" s="13">
        <v>3.25</v>
      </c>
      <c r="CS23" s="23">
        <v>850</v>
      </c>
      <c r="CT23" s="11"/>
      <c r="CU23" s="34">
        <v>1031</v>
      </c>
      <c r="CV23" s="34">
        <v>37</v>
      </c>
      <c r="CW23" s="11">
        <v>450</v>
      </c>
      <c r="CX23" s="34"/>
      <c r="CY23" s="34">
        <v>1789</v>
      </c>
      <c r="CZ23" s="34">
        <v>64</v>
      </c>
      <c r="DA23" s="11">
        <v>450</v>
      </c>
      <c r="DB23" s="34"/>
      <c r="DC23" s="34"/>
      <c r="DD23" s="50"/>
      <c r="DE23" s="50"/>
      <c r="DF23" s="50"/>
      <c r="DG23" s="50"/>
      <c r="DH23" s="34"/>
      <c r="DI23" s="34"/>
      <c r="DJ23" s="34"/>
      <c r="DK23" s="34"/>
    </row>
    <row r="24" spans="1:115" ht="12.5" customHeight="1" x14ac:dyDescent="0.35">
      <c r="A24" s="2"/>
      <c r="B24" s="44" t="s">
        <v>12</v>
      </c>
      <c r="C24" s="33"/>
      <c r="D24" s="32" t="str">
        <f>IF(BJ5&gt;=0,BJ9,"")</f>
        <v/>
      </c>
      <c r="E24" s="20" t="str">
        <f>IF(BJ5=1,"Feil i resultat?",IF(BJ9=BJ10,"","Inkonsistent."))</f>
        <v/>
      </c>
      <c r="F24" s="3">
        <f>C24/100</f>
        <v>0</v>
      </c>
      <c r="G24" s="35">
        <v>9.3379999999999992</v>
      </c>
      <c r="H24" s="35">
        <f t="shared" si="16"/>
        <v>0.23399999999999999</v>
      </c>
      <c r="I24" s="11">
        <v>400</v>
      </c>
      <c r="J24" s="34"/>
      <c r="K24" s="13">
        <f t="shared" si="17"/>
        <v>14.782000000000004</v>
      </c>
      <c r="L24" s="13">
        <v>0.36399999999999999</v>
      </c>
      <c r="M24" s="11">
        <v>400</v>
      </c>
      <c r="N24" s="11"/>
      <c r="O24" s="13">
        <f t="shared" si="0"/>
        <v>30.890999999999991</v>
      </c>
      <c r="P24" s="13">
        <v>0.871</v>
      </c>
      <c r="Q24" s="11">
        <v>400</v>
      </c>
      <c r="R24" s="11"/>
      <c r="S24" s="13">
        <f t="shared" si="18"/>
        <v>71.337999999999994</v>
      </c>
      <c r="T24" s="13">
        <v>2.48</v>
      </c>
      <c r="U24" s="11">
        <v>400</v>
      </c>
      <c r="V24" s="13"/>
      <c r="W24" s="13">
        <f t="shared" si="1"/>
        <v>167.66000000000003</v>
      </c>
      <c r="X24" s="13">
        <v>6</v>
      </c>
      <c r="Y24" s="11">
        <v>400</v>
      </c>
      <c r="Z24" s="13"/>
      <c r="AA24" s="13">
        <f t="shared" si="2"/>
        <v>346.37</v>
      </c>
      <c r="AB24" s="13">
        <v>12</v>
      </c>
      <c r="AC24" s="11">
        <v>400</v>
      </c>
      <c r="AD24" s="13"/>
      <c r="AE24" s="13">
        <f t="shared" si="3"/>
        <v>753.30000000000007</v>
      </c>
      <c r="AF24" s="13">
        <v>26.35</v>
      </c>
      <c r="AG24" s="11">
        <v>400</v>
      </c>
      <c r="AH24" s="11"/>
      <c r="AI24" s="13">
        <f t="shared" si="4"/>
        <v>1317.62</v>
      </c>
      <c r="AJ24" s="13">
        <v>46.5</v>
      </c>
      <c r="AK24" s="11">
        <v>400</v>
      </c>
      <c r="AL24" s="11"/>
      <c r="AM24" s="13">
        <f t="shared" si="5"/>
        <v>2802.4399999999982</v>
      </c>
      <c r="AN24" s="13">
        <v>101.7</v>
      </c>
      <c r="AO24" s="11">
        <v>400</v>
      </c>
      <c r="AP24" s="11"/>
      <c r="AQ24" s="53">
        <v>11.422000000000001</v>
      </c>
      <c r="AR24" s="35">
        <f t="shared" si="22"/>
        <v>0.37899999999999956</v>
      </c>
      <c r="AS24" s="11">
        <v>400</v>
      </c>
      <c r="AT24" s="34"/>
      <c r="AU24" s="13">
        <f t="shared" si="19"/>
        <v>19.98</v>
      </c>
      <c r="AV24" s="13">
        <v>0.83799999999999997</v>
      </c>
      <c r="AW24" s="11">
        <v>400</v>
      </c>
      <c r="AX24" s="11"/>
      <c r="AY24" s="51">
        <f t="shared" si="6"/>
        <v>84.362999999999985</v>
      </c>
      <c r="AZ24" s="13">
        <v>4.3</v>
      </c>
      <c r="BA24" s="11">
        <v>400</v>
      </c>
      <c r="BB24" s="11"/>
      <c r="BC24" s="13">
        <f t="shared" si="7"/>
        <v>858.81</v>
      </c>
      <c r="BD24" s="13">
        <v>33.700000000000003</v>
      </c>
      <c r="BE24" s="11">
        <v>400</v>
      </c>
      <c r="BF24" s="11"/>
      <c r="BG24" s="13">
        <f t="shared" si="20"/>
        <v>1.84</v>
      </c>
      <c r="BH24" s="13">
        <v>0.05</v>
      </c>
      <c r="BI24" s="11">
        <v>900</v>
      </c>
      <c r="BJ24" s="11"/>
      <c r="BK24" s="13">
        <f t="shared" si="8"/>
        <v>1.5149999999999997</v>
      </c>
      <c r="BL24" s="13">
        <v>4.2000000000000003E-2</v>
      </c>
      <c r="BM24" s="11">
        <v>900</v>
      </c>
      <c r="BN24" s="11"/>
      <c r="BO24" s="13">
        <f t="shared" si="21"/>
        <v>4.0000000000000009</v>
      </c>
      <c r="BP24" s="13">
        <v>0.21</v>
      </c>
      <c r="BQ24" s="11">
        <v>900</v>
      </c>
      <c r="BR24" s="11"/>
      <c r="BS24" s="13">
        <f t="shared" si="9"/>
        <v>6.2540000000000013</v>
      </c>
      <c r="BT24" s="13">
        <v>0.22800000000000001</v>
      </c>
      <c r="BU24" s="11">
        <v>900</v>
      </c>
      <c r="BV24" s="11"/>
      <c r="BW24" s="13">
        <f t="shared" si="10"/>
        <v>2.9129999999999994</v>
      </c>
      <c r="BX24" s="13">
        <v>7.1999999999999995E-2</v>
      </c>
      <c r="BY24" s="11">
        <v>900</v>
      </c>
      <c r="BZ24" s="11"/>
      <c r="CA24" s="13">
        <f t="shared" si="11"/>
        <v>13.237999999999996</v>
      </c>
      <c r="CB24" s="13">
        <v>0.48299999999999998</v>
      </c>
      <c r="CC24" s="11">
        <v>900</v>
      </c>
      <c r="CD24" s="11"/>
      <c r="CE24" s="13">
        <f t="shared" si="12"/>
        <v>15.937999999999999</v>
      </c>
      <c r="CF24" s="13">
        <v>1.1100000000000001</v>
      </c>
      <c r="CG24" s="23">
        <v>900</v>
      </c>
      <c r="CH24" s="11"/>
      <c r="CI24" s="13">
        <f t="shared" si="13"/>
        <v>52.749999999999993</v>
      </c>
      <c r="CJ24" s="13">
        <v>3.65</v>
      </c>
      <c r="CK24" s="23">
        <v>900</v>
      </c>
      <c r="CL24" s="11"/>
      <c r="CM24" s="13">
        <f t="shared" si="14"/>
        <v>57.739999999999995</v>
      </c>
      <c r="CN24" s="13">
        <v>4.41</v>
      </c>
      <c r="CO24" s="23">
        <v>900</v>
      </c>
      <c r="CP24" s="11"/>
      <c r="CQ24" s="13">
        <f t="shared" si="15"/>
        <v>52.900000000000006</v>
      </c>
      <c r="CR24" s="13">
        <v>3.25</v>
      </c>
      <c r="CS24" s="23">
        <v>900</v>
      </c>
      <c r="CT24" s="11"/>
      <c r="CU24" s="34">
        <v>1070</v>
      </c>
      <c r="CV24" s="34">
        <v>39</v>
      </c>
      <c r="CW24" s="11">
        <v>400</v>
      </c>
      <c r="CX24" s="34"/>
      <c r="CY24" s="34">
        <v>1857</v>
      </c>
      <c r="CZ24" s="34">
        <v>68</v>
      </c>
      <c r="DA24" s="11">
        <v>400</v>
      </c>
      <c r="DB24" s="34"/>
      <c r="DC24" s="34"/>
      <c r="DD24" s="50"/>
      <c r="DE24" s="50"/>
      <c r="DF24" s="50"/>
      <c r="DG24" s="50"/>
      <c r="DH24" s="34"/>
      <c r="DI24" s="34"/>
      <c r="DJ24" s="34"/>
      <c r="DK24" s="34"/>
    </row>
    <row r="25" spans="1:115" ht="12.5" customHeight="1" x14ac:dyDescent="0.35">
      <c r="A25" s="2"/>
      <c r="B25" s="45" t="s">
        <v>46</v>
      </c>
      <c r="C25" s="33"/>
      <c r="D25" s="32" t="str">
        <f>IF(BN5&gt;=0,BN9,"")</f>
        <v/>
      </c>
      <c r="E25" s="20" t="str">
        <f>IF(BN5=1,"Feil i resultat?",IF(BN9=BN10,"","Inkonsistent."))</f>
        <v/>
      </c>
      <c r="F25" s="3">
        <f t="shared" ref="F25:F29" si="23">C25/100</f>
        <v>0</v>
      </c>
      <c r="G25" s="35">
        <v>9.5839999999999996</v>
      </c>
      <c r="H25" s="35">
        <f t="shared" si="16"/>
        <v>0.24600000000000044</v>
      </c>
      <c r="I25" s="11">
        <v>350</v>
      </c>
      <c r="J25" s="34"/>
      <c r="K25" s="13">
        <f t="shared" si="17"/>
        <v>15.166000000000004</v>
      </c>
      <c r="L25" s="13">
        <v>0.38400000000000001</v>
      </c>
      <c r="M25" s="11">
        <v>350</v>
      </c>
      <c r="N25" s="11"/>
      <c r="O25" s="13">
        <f t="shared" si="0"/>
        <v>31.82299999999999</v>
      </c>
      <c r="P25" s="13">
        <v>0.93200000000000005</v>
      </c>
      <c r="Q25" s="11">
        <v>350</v>
      </c>
      <c r="R25" s="11"/>
      <c r="S25" s="13">
        <f t="shared" si="18"/>
        <v>74.018000000000001</v>
      </c>
      <c r="T25" s="13">
        <v>2.68</v>
      </c>
      <c r="U25" s="11">
        <v>350</v>
      </c>
      <c r="V25" s="13"/>
      <c r="W25" s="13">
        <f t="shared" si="1"/>
        <v>174.04000000000002</v>
      </c>
      <c r="X25" s="13">
        <v>6.38</v>
      </c>
      <c r="Y25" s="11">
        <v>350</v>
      </c>
      <c r="Z25" s="13"/>
      <c r="AA25" s="13">
        <f t="shared" si="2"/>
        <v>359.02</v>
      </c>
      <c r="AB25" s="13">
        <v>12.65</v>
      </c>
      <c r="AC25" s="11">
        <v>350</v>
      </c>
      <c r="AD25" s="13"/>
      <c r="AE25" s="13">
        <f t="shared" si="3"/>
        <v>781.00000000000011</v>
      </c>
      <c r="AF25" s="13">
        <v>27.7</v>
      </c>
      <c r="AG25" s="11">
        <v>350</v>
      </c>
      <c r="AH25" s="11"/>
      <c r="AI25" s="13">
        <f t="shared" si="4"/>
        <v>1366.4199999999998</v>
      </c>
      <c r="AJ25" s="13">
        <v>48.8</v>
      </c>
      <c r="AK25" s="11">
        <v>350</v>
      </c>
      <c r="AL25" s="11"/>
      <c r="AM25" s="13">
        <f t="shared" si="5"/>
        <v>2909.1399999999981</v>
      </c>
      <c r="AN25" s="13">
        <v>106.7</v>
      </c>
      <c r="AO25" s="11">
        <v>350</v>
      </c>
      <c r="AP25" s="11"/>
      <c r="AQ25" s="53">
        <v>11.817000000000002</v>
      </c>
      <c r="AR25" s="35">
        <f t="shared" si="22"/>
        <v>0.39500000000000135</v>
      </c>
      <c r="AS25" s="11">
        <v>350</v>
      </c>
      <c r="AT25" s="34"/>
      <c r="AU25" s="13">
        <f t="shared" si="19"/>
        <v>20.878</v>
      </c>
      <c r="AV25" s="13">
        <v>0.89800000000000002</v>
      </c>
      <c r="AW25" s="11">
        <v>350</v>
      </c>
      <c r="AX25" s="11"/>
      <c r="AY25" s="51">
        <f t="shared" si="6"/>
        <v>88.96299999999998</v>
      </c>
      <c r="AZ25" s="13">
        <v>4.5999999999999996</v>
      </c>
      <c r="BA25" s="11">
        <v>350</v>
      </c>
      <c r="BB25" s="11"/>
      <c r="BC25" s="13">
        <f t="shared" si="7"/>
        <v>894.31</v>
      </c>
      <c r="BD25" s="13">
        <v>35.5</v>
      </c>
      <c r="BE25" s="11">
        <v>350</v>
      </c>
      <c r="BF25" s="11"/>
      <c r="BG25" s="13">
        <f t="shared" si="20"/>
        <v>1.8900000000000001</v>
      </c>
      <c r="BH25" s="13">
        <v>4.7E-2</v>
      </c>
      <c r="BI25" s="11">
        <v>950</v>
      </c>
      <c r="BJ25" s="11"/>
      <c r="BK25" s="13">
        <f t="shared" si="8"/>
        <v>1.5569999999999997</v>
      </c>
      <c r="BL25" s="13">
        <v>4.2000000000000003E-2</v>
      </c>
      <c r="BM25" s="11">
        <v>950</v>
      </c>
      <c r="BN25" s="11"/>
      <c r="BO25" s="13">
        <f t="shared" si="21"/>
        <v>4.2100000000000009</v>
      </c>
      <c r="BP25" s="13">
        <v>0.21</v>
      </c>
      <c r="BQ25" s="11">
        <v>950</v>
      </c>
      <c r="BR25" s="11"/>
      <c r="BS25" s="13">
        <f t="shared" si="9"/>
        <v>6.4820000000000011</v>
      </c>
      <c r="BT25" s="13">
        <v>0.24199999999999999</v>
      </c>
      <c r="BU25" s="11">
        <v>950</v>
      </c>
      <c r="BV25" s="11"/>
      <c r="BW25" s="13">
        <f t="shared" si="10"/>
        <v>2.9849999999999994</v>
      </c>
      <c r="BX25" s="13">
        <v>7.5999999999999998E-2</v>
      </c>
      <c r="BY25" s="11">
        <v>950</v>
      </c>
      <c r="BZ25" s="11"/>
      <c r="CA25" s="13">
        <f t="shared" si="11"/>
        <v>13.720999999999997</v>
      </c>
      <c r="CB25" s="13">
        <v>0.51300000000000001</v>
      </c>
      <c r="CC25" s="11">
        <v>950</v>
      </c>
      <c r="CD25" s="11"/>
      <c r="CE25" s="13">
        <f t="shared" si="12"/>
        <v>17.047999999999998</v>
      </c>
      <c r="CF25" s="13">
        <v>1.1180000000000001</v>
      </c>
      <c r="CG25" s="23">
        <v>950</v>
      </c>
      <c r="CH25" s="11"/>
      <c r="CI25" s="13">
        <f t="shared" si="13"/>
        <v>56.399999999999991</v>
      </c>
      <c r="CJ25" s="13">
        <v>3.65</v>
      </c>
      <c r="CK25" s="23">
        <v>950</v>
      </c>
      <c r="CL25" s="11"/>
      <c r="CM25" s="13">
        <f t="shared" si="14"/>
        <v>62.149999999999991</v>
      </c>
      <c r="CN25" s="13">
        <v>4.47</v>
      </c>
      <c r="CO25" s="23">
        <v>950</v>
      </c>
      <c r="CP25" s="11"/>
      <c r="CQ25" s="13">
        <f t="shared" si="15"/>
        <v>56.150000000000006</v>
      </c>
      <c r="CR25" s="13">
        <v>3.25</v>
      </c>
      <c r="CS25" s="23">
        <v>950</v>
      </c>
      <c r="CT25" s="11"/>
      <c r="CU25" s="34">
        <v>1111</v>
      </c>
      <c r="CV25" s="34">
        <v>41</v>
      </c>
      <c r="CW25" s="11">
        <v>350</v>
      </c>
      <c r="CX25" s="34"/>
      <c r="CY25" s="34">
        <v>1928</v>
      </c>
      <c r="CZ25" s="34">
        <v>71</v>
      </c>
      <c r="DA25" s="11">
        <v>350</v>
      </c>
      <c r="DB25" s="34"/>
      <c r="DC25" s="34"/>
      <c r="DD25" s="50"/>
      <c r="DE25" s="50"/>
      <c r="DF25" s="50"/>
      <c r="DG25" s="50"/>
      <c r="DH25" s="34"/>
      <c r="DI25" s="34"/>
      <c r="DJ25" s="34"/>
      <c r="DK25" s="34"/>
    </row>
    <row r="26" spans="1:115" ht="12.5" customHeight="1" x14ac:dyDescent="0.35">
      <c r="A26" s="2"/>
      <c r="B26" s="45" t="s">
        <v>11</v>
      </c>
      <c r="C26" s="33"/>
      <c r="D26" s="32" t="str">
        <f>IF(BR5=0,BR9,"")</f>
        <v/>
      </c>
      <c r="E26" s="20" t="str">
        <f>IF(BR5=1,"Feil i resultat?",IF(BR9=BR10,"","Inkonsistent."))</f>
        <v/>
      </c>
      <c r="F26" s="3">
        <f t="shared" si="23"/>
        <v>0</v>
      </c>
      <c r="G26" s="35">
        <v>9.8419999999999987</v>
      </c>
      <c r="H26" s="35">
        <f t="shared" si="16"/>
        <v>0.25799999999999912</v>
      </c>
      <c r="I26" s="11">
        <v>300</v>
      </c>
      <c r="J26" s="34"/>
      <c r="K26" s="13">
        <f t="shared" si="17"/>
        <v>15.572000000000005</v>
      </c>
      <c r="L26" s="13">
        <v>0.40600000000000003</v>
      </c>
      <c r="M26" s="11">
        <v>300</v>
      </c>
      <c r="N26" s="11"/>
      <c r="O26" s="13">
        <f t="shared" si="0"/>
        <v>32.824999999999989</v>
      </c>
      <c r="P26" s="13">
        <v>1.002</v>
      </c>
      <c r="Q26" s="11">
        <v>300</v>
      </c>
      <c r="R26" s="11"/>
      <c r="S26" s="13">
        <f t="shared" si="18"/>
        <v>76.897999999999996</v>
      </c>
      <c r="T26" s="13">
        <v>2.88</v>
      </c>
      <c r="U26" s="11">
        <v>300</v>
      </c>
      <c r="V26" s="13"/>
      <c r="W26" s="13">
        <f t="shared" si="1"/>
        <v>180.80000000000004</v>
      </c>
      <c r="X26" s="13">
        <v>6.7600000000000096</v>
      </c>
      <c r="Y26" s="11">
        <v>300</v>
      </c>
      <c r="Z26" s="13"/>
      <c r="AA26" s="13">
        <f t="shared" si="2"/>
        <v>372.32</v>
      </c>
      <c r="AB26" s="13">
        <v>13.3</v>
      </c>
      <c r="AC26" s="11">
        <v>300</v>
      </c>
      <c r="AD26" s="13"/>
      <c r="AE26" s="13">
        <f t="shared" si="3"/>
        <v>810.05000000000007</v>
      </c>
      <c r="AF26" s="13">
        <v>29.05</v>
      </c>
      <c r="AG26" s="11">
        <v>300</v>
      </c>
      <c r="AH26" s="11"/>
      <c r="AI26" s="13">
        <f t="shared" si="4"/>
        <v>1417.5199999999998</v>
      </c>
      <c r="AJ26" s="13">
        <v>51.1</v>
      </c>
      <c r="AK26" s="11">
        <v>300</v>
      </c>
      <c r="AL26" s="11"/>
      <c r="AM26" s="13">
        <f t="shared" si="5"/>
        <v>3020.8399999999979</v>
      </c>
      <c r="AN26" s="13">
        <v>111.7</v>
      </c>
      <c r="AO26" s="11">
        <v>300</v>
      </c>
      <c r="AP26" s="11"/>
      <c r="AQ26" s="53">
        <v>12.227</v>
      </c>
      <c r="AR26" s="35">
        <f t="shared" si="22"/>
        <v>0.40999999999999837</v>
      </c>
      <c r="AS26" s="11">
        <v>300</v>
      </c>
      <c r="AT26" s="34"/>
      <c r="AU26" s="13">
        <f t="shared" si="19"/>
        <v>21.84</v>
      </c>
      <c r="AV26" s="13">
        <v>0.96199999999999997</v>
      </c>
      <c r="AW26" s="11">
        <v>300</v>
      </c>
      <c r="AX26" s="11"/>
      <c r="AY26" s="51">
        <f t="shared" si="6"/>
        <v>93.862999999999985</v>
      </c>
      <c r="AZ26" s="13">
        <v>4.9000000000000004</v>
      </c>
      <c r="BA26" s="11">
        <v>300</v>
      </c>
      <c r="BB26" s="11"/>
      <c r="BC26" s="13">
        <f t="shared" si="7"/>
        <v>931.6099999999999</v>
      </c>
      <c r="BD26" s="13">
        <v>37.299999999999997</v>
      </c>
      <c r="BE26" s="11">
        <v>300</v>
      </c>
      <c r="BF26" s="11"/>
      <c r="BG26" s="13">
        <f t="shared" si="20"/>
        <v>1.9370000000000001</v>
      </c>
      <c r="BH26" s="13">
        <v>4.7E-2</v>
      </c>
      <c r="BI26" s="11">
        <v>1000</v>
      </c>
      <c r="BJ26" s="11"/>
      <c r="BK26" s="13">
        <f t="shared" si="8"/>
        <v>1.5989999999999998</v>
      </c>
      <c r="BL26" s="13">
        <v>4.3999999999999997E-2</v>
      </c>
      <c r="BM26" s="11">
        <v>1000</v>
      </c>
      <c r="BN26" s="11"/>
      <c r="BO26" s="13">
        <f t="shared" si="21"/>
        <v>4.4200000000000008</v>
      </c>
      <c r="BP26" s="13">
        <v>0.21</v>
      </c>
      <c r="BQ26" s="11">
        <v>1000</v>
      </c>
      <c r="BR26" s="11"/>
      <c r="BS26" s="13">
        <f t="shared" si="9"/>
        <v>6.7240000000000011</v>
      </c>
      <c r="BT26" s="13">
        <v>0.254</v>
      </c>
      <c r="BU26" s="11">
        <v>1000</v>
      </c>
      <c r="BV26" s="11"/>
      <c r="BW26" s="13">
        <f t="shared" si="10"/>
        <v>3.0609999999999995</v>
      </c>
      <c r="BX26" s="13">
        <v>0.08</v>
      </c>
      <c r="BY26" s="11">
        <v>1000</v>
      </c>
      <c r="BZ26" s="11"/>
      <c r="CA26" s="13">
        <f t="shared" si="11"/>
        <v>14.233999999999996</v>
      </c>
      <c r="CB26" s="13">
        <v>0.53800000000000003</v>
      </c>
      <c r="CC26" s="11">
        <v>1000</v>
      </c>
      <c r="CD26" s="11"/>
      <c r="CE26" s="13">
        <f t="shared" si="12"/>
        <v>18.165999999999997</v>
      </c>
      <c r="CF26" s="13">
        <v>1.1240000000000001</v>
      </c>
      <c r="CG26" s="23">
        <v>1000</v>
      </c>
      <c r="CH26" s="11"/>
      <c r="CI26" s="13">
        <f t="shared" si="13"/>
        <v>60.04999999999999</v>
      </c>
      <c r="CJ26" s="13">
        <v>3.7</v>
      </c>
      <c r="CK26" s="23">
        <v>1000</v>
      </c>
      <c r="CL26" s="11"/>
      <c r="CM26" s="13">
        <f t="shared" si="14"/>
        <v>66.61999999999999</v>
      </c>
      <c r="CN26" s="13">
        <v>4.51</v>
      </c>
      <c r="CO26" s="23">
        <v>1000</v>
      </c>
      <c r="CP26" s="11"/>
      <c r="CQ26" s="13">
        <f t="shared" si="15"/>
        <v>59.400000000000006</v>
      </c>
      <c r="CR26" s="13">
        <v>3.6</v>
      </c>
      <c r="CS26" s="23">
        <v>1000</v>
      </c>
      <c r="CT26" s="11"/>
      <c r="CU26" s="34">
        <v>1154</v>
      </c>
      <c r="CV26" s="34">
        <v>43</v>
      </c>
      <c r="CW26" s="11">
        <v>300</v>
      </c>
      <c r="CX26" s="34"/>
      <c r="CY26" s="34">
        <v>2002</v>
      </c>
      <c r="CZ26" s="34">
        <v>74</v>
      </c>
      <c r="DA26" s="11">
        <v>300</v>
      </c>
      <c r="DB26" s="34"/>
      <c r="DC26" s="34"/>
      <c r="DD26" s="50"/>
      <c r="DE26" s="50"/>
      <c r="DF26" s="50"/>
      <c r="DG26" s="50"/>
      <c r="DH26" s="34"/>
      <c r="DI26" s="34"/>
      <c r="DJ26" s="34"/>
      <c r="DK26" s="34"/>
    </row>
    <row r="27" spans="1:115" ht="12.5" customHeight="1" x14ac:dyDescent="0.35">
      <c r="A27" s="2"/>
      <c r="B27" s="45" t="s">
        <v>17</v>
      </c>
      <c r="C27" s="33"/>
      <c r="D27" s="32" t="str">
        <f>IF(BV5&gt;=0,BV9,"")</f>
        <v/>
      </c>
      <c r="E27" s="20" t="str">
        <f>IF(BV5=1,"Feil i resultat?",IF(BV9=BV10,"","Inkonsistent."))</f>
        <v/>
      </c>
      <c r="F27" s="3">
        <f t="shared" si="23"/>
        <v>0</v>
      </c>
      <c r="G27" s="35">
        <v>10.113</v>
      </c>
      <c r="H27" s="35">
        <f t="shared" si="16"/>
        <v>0.2710000000000008</v>
      </c>
      <c r="I27" s="11">
        <v>250</v>
      </c>
      <c r="J27" s="34"/>
      <c r="K27" s="13">
        <f t="shared" si="17"/>
        <v>16.002000000000006</v>
      </c>
      <c r="L27" s="13">
        <v>0.43</v>
      </c>
      <c r="M27" s="11">
        <v>250</v>
      </c>
      <c r="N27" s="11"/>
      <c r="O27" s="13">
        <f t="shared" si="0"/>
        <v>33.906999999999989</v>
      </c>
      <c r="P27" s="13">
        <v>1.0820000000000001</v>
      </c>
      <c r="Q27" s="11">
        <v>250</v>
      </c>
      <c r="R27" s="11"/>
      <c r="S27" s="13">
        <f t="shared" si="18"/>
        <v>79.977999999999994</v>
      </c>
      <c r="T27" s="13">
        <v>3.08</v>
      </c>
      <c r="U27" s="11">
        <v>250</v>
      </c>
      <c r="V27" s="13"/>
      <c r="W27" s="13">
        <f t="shared" si="1"/>
        <v>187.94000000000005</v>
      </c>
      <c r="X27" s="13">
        <v>7.1400000000000103</v>
      </c>
      <c r="Y27" s="11">
        <v>250</v>
      </c>
      <c r="Z27" s="13"/>
      <c r="AA27" s="13">
        <f t="shared" si="2"/>
        <v>386.27</v>
      </c>
      <c r="AB27" s="13">
        <v>13.95</v>
      </c>
      <c r="AC27" s="11">
        <v>250</v>
      </c>
      <c r="AD27" s="13"/>
      <c r="AE27" s="13">
        <f t="shared" si="3"/>
        <v>840.45</v>
      </c>
      <c r="AF27" s="13">
        <v>30.4</v>
      </c>
      <c r="AG27" s="11">
        <v>250</v>
      </c>
      <c r="AH27" s="11"/>
      <c r="AI27" s="13">
        <f t="shared" si="4"/>
        <v>1470.9199999999998</v>
      </c>
      <c r="AJ27" s="13">
        <v>53.4</v>
      </c>
      <c r="AK27" s="11">
        <v>250</v>
      </c>
      <c r="AL27" s="11"/>
      <c r="AM27" s="13">
        <f t="shared" si="5"/>
        <v>3137.5399999999977</v>
      </c>
      <c r="AN27" s="13">
        <v>116.7</v>
      </c>
      <c r="AO27" s="11">
        <v>250</v>
      </c>
      <c r="AP27" s="11"/>
      <c r="AQ27" s="53">
        <v>12.652000000000001</v>
      </c>
      <c r="AR27" s="35">
        <f t="shared" si="22"/>
        <v>0.42500000000000071</v>
      </c>
      <c r="AS27" s="11">
        <v>250</v>
      </c>
      <c r="AT27" s="34"/>
      <c r="AU27" s="13">
        <f t="shared" si="19"/>
        <v>22.87</v>
      </c>
      <c r="AV27" s="13">
        <v>1.03</v>
      </c>
      <c r="AW27" s="11">
        <v>250</v>
      </c>
      <c r="AX27" s="11"/>
      <c r="AY27" s="51">
        <f t="shared" si="6"/>
        <v>99.062999999999988</v>
      </c>
      <c r="AZ27" s="13">
        <v>5.2</v>
      </c>
      <c r="BA27" s="11">
        <v>250</v>
      </c>
      <c r="BB27" s="11"/>
      <c r="BC27" s="13">
        <f t="shared" si="7"/>
        <v>970.70999999999992</v>
      </c>
      <c r="BD27" s="13">
        <v>39.1</v>
      </c>
      <c r="BE27" s="11">
        <v>250</v>
      </c>
      <c r="BF27" s="11"/>
      <c r="BG27" s="13">
        <f t="shared" si="20"/>
        <v>1.984</v>
      </c>
      <c r="BH27" s="13">
        <v>0.05</v>
      </c>
      <c r="BI27" s="11">
        <v>1050</v>
      </c>
      <c r="BJ27" s="11"/>
      <c r="BK27" s="13">
        <f t="shared" si="8"/>
        <v>1.6429999999999998</v>
      </c>
      <c r="BL27" s="13">
        <v>4.5999999999999999E-2</v>
      </c>
      <c r="BM27" s="11">
        <v>1050</v>
      </c>
      <c r="BN27" s="11"/>
      <c r="BO27" s="13">
        <f t="shared" si="21"/>
        <v>4.6300000000000008</v>
      </c>
      <c r="BP27" s="13">
        <v>0.2</v>
      </c>
      <c r="BQ27" s="11">
        <v>1050</v>
      </c>
      <c r="BR27" s="11"/>
      <c r="BS27" s="13">
        <f t="shared" si="9"/>
        <v>6.9780000000000015</v>
      </c>
      <c r="BT27" s="13">
        <v>0.26400000000000001</v>
      </c>
      <c r="BU27" s="11">
        <v>1050</v>
      </c>
      <c r="BV27" s="11"/>
      <c r="BW27" s="13">
        <f t="shared" si="10"/>
        <v>3.1409999999999996</v>
      </c>
      <c r="BX27" s="13">
        <v>8.4000000000000005E-2</v>
      </c>
      <c r="BY27" s="11">
        <v>1050</v>
      </c>
      <c r="BZ27" s="11"/>
      <c r="CA27" s="13">
        <f t="shared" si="11"/>
        <v>14.771999999999997</v>
      </c>
      <c r="CB27" s="13">
        <v>0.55900000000000005</v>
      </c>
      <c r="CC27" s="11">
        <v>1050</v>
      </c>
      <c r="CD27" s="11"/>
      <c r="CE27" s="13">
        <f t="shared" si="12"/>
        <v>19.289999999999996</v>
      </c>
      <c r="CF27" s="13">
        <v>1.1299999999999999</v>
      </c>
      <c r="CG27" s="23">
        <v>1050</v>
      </c>
      <c r="CH27" s="11"/>
      <c r="CI27" s="13">
        <f t="shared" si="13"/>
        <v>63.749999999999993</v>
      </c>
      <c r="CJ27" s="13">
        <v>4.1500000000000004</v>
      </c>
      <c r="CK27" s="23">
        <v>1050</v>
      </c>
      <c r="CL27" s="11"/>
      <c r="CM27" s="13">
        <f t="shared" si="14"/>
        <v>71.13</v>
      </c>
      <c r="CN27" s="13">
        <v>4.54</v>
      </c>
      <c r="CO27" s="23">
        <v>1050</v>
      </c>
      <c r="CP27" s="11"/>
      <c r="CQ27" s="13">
        <f t="shared" si="15"/>
        <v>63.000000000000007</v>
      </c>
      <c r="CR27" s="13">
        <v>4</v>
      </c>
      <c r="CS27" s="23">
        <v>1050</v>
      </c>
      <c r="CT27" s="11"/>
      <c r="CU27" s="34">
        <v>1199</v>
      </c>
      <c r="CV27" s="34">
        <v>45</v>
      </c>
      <c r="CW27" s="11">
        <v>250</v>
      </c>
      <c r="CX27" s="34"/>
      <c r="CY27" s="34">
        <v>2080</v>
      </c>
      <c r="CZ27" s="34">
        <v>78</v>
      </c>
      <c r="DA27" s="11">
        <v>250</v>
      </c>
      <c r="DB27" s="34"/>
      <c r="DC27" s="34"/>
      <c r="DD27" s="50"/>
      <c r="DE27" s="50"/>
      <c r="DF27" s="50"/>
      <c r="DG27" s="50"/>
      <c r="DH27" s="34"/>
      <c r="DI27" s="34"/>
      <c r="DJ27" s="34"/>
      <c r="DK27" s="34"/>
    </row>
    <row r="28" spans="1:115" ht="12.5" customHeight="1" x14ac:dyDescent="0.35">
      <c r="A28" s="2"/>
      <c r="B28" s="45" t="s">
        <v>47</v>
      </c>
      <c r="C28" s="33"/>
      <c r="D28" s="32" t="str">
        <f>IF(BZ5&gt;=0,BZ9,"")</f>
        <v/>
      </c>
      <c r="E28" s="20" t="str">
        <f>IF(BZ5=1,"Feil i resultat?",IF(BZ9=BZ10,"",""))</f>
        <v/>
      </c>
      <c r="F28" s="3">
        <f t="shared" si="23"/>
        <v>0</v>
      </c>
      <c r="G28" s="35">
        <v>10.397</v>
      </c>
      <c r="H28" s="35">
        <f t="shared" si="16"/>
        <v>0.2840000000000007</v>
      </c>
      <c r="I28" s="11">
        <v>200</v>
      </c>
      <c r="J28" s="34"/>
      <c r="K28" s="13">
        <f t="shared" si="17"/>
        <v>16.459000000000007</v>
      </c>
      <c r="L28" s="13">
        <v>0.45700000000000002</v>
      </c>
      <c r="M28" s="11">
        <v>200</v>
      </c>
      <c r="N28" s="11"/>
      <c r="O28" s="13">
        <f t="shared" si="0"/>
        <v>35.078999999999986</v>
      </c>
      <c r="P28" s="13">
        <v>1.1719999999999999</v>
      </c>
      <c r="Q28" s="11">
        <v>200</v>
      </c>
      <c r="R28" s="11"/>
      <c r="S28" s="13">
        <f t="shared" si="18"/>
        <v>83.257999999999996</v>
      </c>
      <c r="T28" s="13">
        <v>3.28</v>
      </c>
      <c r="U28" s="11">
        <v>200</v>
      </c>
      <c r="V28" s="13"/>
      <c r="W28" s="13">
        <f t="shared" si="1"/>
        <v>195.46000000000006</v>
      </c>
      <c r="X28" s="13">
        <v>7.5200000000000102</v>
      </c>
      <c r="Y28" s="11">
        <v>200</v>
      </c>
      <c r="Z28" s="13"/>
      <c r="AA28" s="13">
        <f t="shared" si="2"/>
        <v>400.87</v>
      </c>
      <c r="AB28" s="13">
        <v>14.6</v>
      </c>
      <c r="AC28" s="11">
        <v>200</v>
      </c>
      <c r="AD28" s="13"/>
      <c r="AE28" s="13">
        <f t="shared" si="3"/>
        <v>872.2</v>
      </c>
      <c r="AF28" s="13">
        <v>31.75</v>
      </c>
      <c r="AG28" s="11">
        <v>200</v>
      </c>
      <c r="AH28" s="11"/>
      <c r="AI28" s="13">
        <f t="shared" si="4"/>
        <v>1526.62</v>
      </c>
      <c r="AJ28" s="13">
        <v>55.7</v>
      </c>
      <c r="AK28" s="11">
        <v>200</v>
      </c>
      <c r="AL28" s="11"/>
      <c r="AM28" s="13">
        <f t="shared" si="5"/>
        <v>3259.2399999999975</v>
      </c>
      <c r="AN28" s="13">
        <v>121.7</v>
      </c>
      <c r="AO28" s="11">
        <v>200</v>
      </c>
      <c r="AP28" s="11"/>
      <c r="AQ28" s="53">
        <v>13.090000000000002</v>
      </c>
      <c r="AR28" s="35">
        <f t="shared" si="22"/>
        <v>0.43800000000000061</v>
      </c>
      <c r="AS28" s="11">
        <v>200</v>
      </c>
      <c r="AT28" s="34"/>
      <c r="AU28" s="13">
        <f t="shared" si="19"/>
        <v>23.974</v>
      </c>
      <c r="AV28" s="13">
        <v>1.1040000000000001</v>
      </c>
      <c r="AW28" s="11">
        <v>200</v>
      </c>
      <c r="AX28" s="11"/>
      <c r="AY28" s="51">
        <f t="shared" si="6"/>
        <v>104.56299999999999</v>
      </c>
      <c r="AZ28" s="13">
        <v>5.5</v>
      </c>
      <c r="BA28" s="11">
        <v>200</v>
      </c>
      <c r="BB28" s="11"/>
      <c r="BC28" s="13">
        <f t="shared" si="7"/>
        <v>1011.6099999999999</v>
      </c>
      <c r="BD28" s="13">
        <v>40.9</v>
      </c>
      <c r="BE28" s="11">
        <v>200</v>
      </c>
      <c r="BF28" s="11"/>
      <c r="BG28" s="13">
        <f t="shared" si="20"/>
        <v>2.0339999999999998</v>
      </c>
      <c r="BH28" s="13">
        <v>5.2999999999999999E-2</v>
      </c>
      <c r="BI28" s="11">
        <v>1100</v>
      </c>
      <c r="BJ28" s="11"/>
      <c r="BK28" s="13">
        <f t="shared" si="8"/>
        <v>1.6889999999999998</v>
      </c>
      <c r="BL28" s="13">
        <v>4.8000000000000001E-2</v>
      </c>
      <c r="BM28" s="11">
        <v>1100</v>
      </c>
      <c r="BN28" s="11"/>
      <c r="BO28" s="13">
        <f t="shared" si="21"/>
        <v>4.830000000000001</v>
      </c>
      <c r="BP28" s="13">
        <v>0.18</v>
      </c>
      <c r="BQ28" s="11">
        <v>1100</v>
      </c>
      <c r="BR28" s="11"/>
      <c r="BS28" s="13">
        <f t="shared" si="9"/>
        <v>7.2420000000000018</v>
      </c>
      <c r="BT28" s="13">
        <v>0.27200000000000002</v>
      </c>
      <c r="BU28" s="11">
        <v>1100</v>
      </c>
      <c r="BV28" s="11"/>
      <c r="BW28" s="13">
        <f t="shared" si="10"/>
        <v>3.2249999999999996</v>
      </c>
      <c r="BX28" s="13">
        <v>8.7999999999999995E-2</v>
      </c>
      <c r="BY28" s="11">
        <v>1100</v>
      </c>
      <c r="BZ28" s="11"/>
      <c r="CA28" s="13">
        <f t="shared" si="11"/>
        <v>15.330999999999996</v>
      </c>
      <c r="CB28" s="13">
        <v>0.57599999999999996</v>
      </c>
      <c r="CC28" s="11">
        <v>1100</v>
      </c>
      <c r="CD28" s="11"/>
      <c r="CE28" s="13">
        <f t="shared" si="12"/>
        <v>20.419999999999995</v>
      </c>
      <c r="CF28" s="13">
        <v>1.1359999999999999</v>
      </c>
      <c r="CG28" s="23">
        <v>1100</v>
      </c>
      <c r="CH28" s="11"/>
      <c r="CI28" s="13">
        <f t="shared" si="13"/>
        <v>67.899999999999991</v>
      </c>
      <c r="CJ28" s="13">
        <v>4.4000000000000004</v>
      </c>
      <c r="CK28" s="23">
        <v>1100</v>
      </c>
      <c r="CL28" s="11"/>
      <c r="CM28" s="13">
        <f t="shared" si="14"/>
        <v>75.67</v>
      </c>
      <c r="CN28" s="13">
        <v>4.5599999999999996</v>
      </c>
      <c r="CO28" s="23">
        <v>1100</v>
      </c>
      <c r="CP28" s="11"/>
      <c r="CQ28" s="13">
        <f t="shared" si="15"/>
        <v>67</v>
      </c>
      <c r="CR28" s="13">
        <v>4.2</v>
      </c>
      <c r="CS28" s="23">
        <v>1100</v>
      </c>
      <c r="CT28" s="11"/>
      <c r="CU28" s="34">
        <v>1246</v>
      </c>
      <c r="CV28" s="34">
        <v>47</v>
      </c>
      <c r="CW28" s="11">
        <v>200</v>
      </c>
      <c r="CX28" s="34"/>
      <c r="CY28" s="34">
        <v>2162</v>
      </c>
      <c r="CZ28" s="34">
        <v>82</v>
      </c>
      <c r="DA28" s="11">
        <v>200</v>
      </c>
      <c r="DB28" s="34"/>
      <c r="DC28" s="34"/>
      <c r="DD28" s="50"/>
      <c r="DE28" s="50"/>
      <c r="DF28" s="50"/>
      <c r="DG28" s="50"/>
      <c r="DH28" s="34"/>
      <c r="DI28" s="34"/>
      <c r="DJ28" s="34"/>
      <c r="DK28" s="34"/>
    </row>
    <row r="29" spans="1:115" ht="12.5" customHeight="1" x14ac:dyDescent="0.35">
      <c r="A29" s="2"/>
      <c r="B29" s="77" t="s">
        <v>10</v>
      </c>
      <c r="C29" s="33"/>
      <c r="D29" s="32" t="str">
        <f>IF(CD5&gt;=0,CD9,"")</f>
        <v/>
      </c>
      <c r="E29" s="20" t="str">
        <f>IF(CD5=1,"Feil i resultat?",IF(CD9=CD10,"","Inkonsistent."))</f>
        <v/>
      </c>
      <c r="F29" s="3">
        <f t="shared" si="23"/>
        <v>0</v>
      </c>
      <c r="G29" s="35">
        <v>10.696</v>
      </c>
      <c r="H29" s="35">
        <f t="shared" si="16"/>
        <v>0.29899999999999949</v>
      </c>
      <c r="I29" s="11">
        <v>150</v>
      </c>
      <c r="J29" s="34"/>
      <c r="K29" s="13">
        <f t="shared" si="17"/>
        <v>16.946000000000005</v>
      </c>
      <c r="L29" s="13">
        <v>0.48699999999999999</v>
      </c>
      <c r="M29" s="11">
        <v>150</v>
      </c>
      <c r="N29" s="11"/>
      <c r="O29" s="13">
        <f t="shared" si="0"/>
        <v>36.350999999999985</v>
      </c>
      <c r="P29" s="13">
        <v>1.272</v>
      </c>
      <c r="Q29" s="11">
        <v>150</v>
      </c>
      <c r="R29" s="11"/>
      <c r="S29" s="13">
        <f t="shared" si="18"/>
        <v>86.738</v>
      </c>
      <c r="T29" s="13">
        <v>3.48</v>
      </c>
      <c r="U29" s="11">
        <v>150</v>
      </c>
      <c r="V29" s="13"/>
      <c r="W29" s="13">
        <f t="shared" si="1"/>
        <v>203.36000000000007</v>
      </c>
      <c r="X29" s="13">
        <v>7.9000000000000101</v>
      </c>
      <c r="Y29" s="11">
        <v>150</v>
      </c>
      <c r="Z29" s="13"/>
      <c r="AA29" s="13">
        <f t="shared" si="2"/>
        <v>416.12</v>
      </c>
      <c r="AB29" s="13">
        <v>15.25</v>
      </c>
      <c r="AC29" s="11">
        <v>150</v>
      </c>
      <c r="AD29" s="13"/>
      <c r="AE29" s="13">
        <f t="shared" si="3"/>
        <v>905.30000000000007</v>
      </c>
      <c r="AF29" s="13">
        <v>33.1</v>
      </c>
      <c r="AG29" s="11">
        <v>150</v>
      </c>
      <c r="AH29" s="11"/>
      <c r="AI29" s="13">
        <f t="shared" si="4"/>
        <v>1584.62</v>
      </c>
      <c r="AJ29" s="13">
        <v>58</v>
      </c>
      <c r="AK29" s="11">
        <v>150</v>
      </c>
      <c r="AL29" s="11"/>
      <c r="AM29" s="13">
        <f t="shared" si="5"/>
        <v>3385.9399999999973</v>
      </c>
      <c r="AN29" s="13">
        <v>126.7</v>
      </c>
      <c r="AO29" s="11">
        <v>150</v>
      </c>
      <c r="AP29" s="11"/>
      <c r="AQ29" s="53">
        <v>13.540000000000001</v>
      </c>
      <c r="AR29" s="35">
        <f t="shared" si="22"/>
        <v>0.44999999999999929</v>
      </c>
      <c r="AS29" s="11">
        <v>150</v>
      </c>
      <c r="AT29" s="34"/>
      <c r="AU29" s="13">
        <f t="shared" si="19"/>
        <v>25.158000000000001</v>
      </c>
      <c r="AV29" s="13">
        <v>1.1839999999999999</v>
      </c>
      <c r="AW29" s="11">
        <v>150</v>
      </c>
      <c r="AX29" s="11"/>
      <c r="AY29" s="51">
        <f t="shared" si="6"/>
        <v>110.36299999999999</v>
      </c>
      <c r="AZ29" s="13">
        <v>5.8</v>
      </c>
      <c r="BA29" s="11">
        <v>150</v>
      </c>
      <c r="BB29" s="11"/>
      <c r="BC29" s="13">
        <f t="shared" si="7"/>
        <v>1054.31</v>
      </c>
      <c r="BD29" s="13">
        <v>42.7</v>
      </c>
      <c r="BE29" s="11">
        <v>150</v>
      </c>
      <c r="BF29" s="11"/>
      <c r="BG29" s="13">
        <f t="shared" si="20"/>
        <v>2.0869999999999997</v>
      </c>
      <c r="BH29" s="13">
        <v>5.6000000000000001E-2</v>
      </c>
      <c r="BI29" s="11">
        <v>1150</v>
      </c>
      <c r="BJ29" s="11"/>
      <c r="BK29" s="13">
        <f t="shared" si="8"/>
        <v>1.7369999999999999</v>
      </c>
      <c r="BL29" s="13">
        <v>0.05</v>
      </c>
      <c r="BM29" s="11">
        <v>1150</v>
      </c>
      <c r="BN29" s="11"/>
      <c r="BO29" s="13">
        <f t="shared" si="21"/>
        <v>5.0100000000000007</v>
      </c>
      <c r="BP29" s="13">
        <v>0.18</v>
      </c>
      <c r="BQ29" s="11">
        <v>1150</v>
      </c>
      <c r="BR29" s="11"/>
      <c r="BS29" s="13">
        <f t="shared" si="9"/>
        <v>7.514000000000002</v>
      </c>
      <c r="BT29" s="13">
        <v>0.27800000000000002</v>
      </c>
      <c r="BU29" s="11">
        <v>1150</v>
      </c>
      <c r="BV29" s="11"/>
      <c r="BW29" s="13">
        <f t="shared" si="10"/>
        <v>3.3129999999999997</v>
      </c>
      <c r="BX29" s="13">
        <v>9.1999999999999998E-2</v>
      </c>
      <c r="BY29" s="11">
        <v>1150</v>
      </c>
      <c r="BZ29" s="11"/>
      <c r="CA29" s="13">
        <f t="shared" si="11"/>
        <v>15.906999999999996</v>
      </c>
      <c r="CB29" s="13">
        <v>0.58899999999999997</v>
      </c>
      <c r="CC29" s="11">
        <v>1150</v>
      </c>
      <c r="CD29" s="11"/>
      <c r="CE29" s="13">
        <f t="shared" si="12"/>
        <v>21.555999999999994</v>
      </c>
      <c r="CF29" s="13">
        <v>1.1419999999999999</v>
      </c>
      <c r="CG29" s="23">
        <v>1150</v>
      </c>
      <c r="CH29" s="11"/>
      <c r="CI29" s="13">
        <f t="shared" si="13"/>
        <v>72.3</v>
      </c>
      <c r="CJ29" s="13">
        <v>4.5</v>
      </c>
      <c r="CK29" s="23">
        <v>1150</v>
      </c>
      <c r="CL29" s="11"/>
      <c r="CM29" s="13">
        <f t="shared" si="14"/>
        <v>80.23</v>
      </c>
      <c r="CN29" s="13">
        <v>4.58</v>
      </c>
      <c r="CO29" s="23">
        <v>1150</v>
      </c>
      <c r="CP29" s="11"/>
      <c r="CQ29" s="13">
        <f t="shared" si="15"/>
        <v>71.2</v>
      </c>
      <c r="CR29" s="13">
        <v>4.25</v>
      </c>
      <c r="CS29" s="23">
        <v>1150</v>
      </c>
      <c r="CT29" s="11"/>
      <c r="CU29" s="34">
        <v>1294</v>
      </c>
      <c r="CV29" s="34">
        <v>48</v>
      </c>
      <c r="CW29" s="11">
        <v>150</v>
      </c>
      <c r="CX29" s="34"/>
      <c r="CY29" s="34">
        <v>2246</v>
      </c>
      <c r="CZ29" s="34">
        <v>84</v>
      </c>
      <c r="DA29" s="11">
        <v>150</v>
      </c>
      <c r="DB29" s="34"/>
      <c r="DC29" s="34"/>
      <c r="DD29" s="50"/>
      <c r="DE29" s="50"/>
      <c r="DF29" s="50"/>
      <c r="DG29" s="50"/>
      <c r="DH29" s="34"/>
      <c r="DI29" s="34"/>
      <c r="DJ29" s="34"/>
      <c r="DK29" s="34"/>
    </row>
    <row r="30" spans="1:115" ht="12.5" customHeight="1" x14ac:dyDescent="0.35">
      <c r="A30" s="2"/>
      <c r="B30" s="78"/>
      <c r="C30" s="30"/>
      <c r="D30" s="31"/>
      <c r="E30" s="20"/>
      <c r="F30" s="3"/>
      <c r="G30" s="35">
        <v>11.016999999999999</v>
      </c>
      <c r="H30" s="35">
        <f t="shared" si="16"/>
        <v>0.32099999999999973</v>
      </c>
      <c r="I30" s="11">
        <v>100</v>
      </c>
      <c r="J30" s="34"/>
      <c r="K30" s="13">
        <f t="shared" si="17"/>
        <v>17.463000000000005</v>
      </c>
      <c r="L30" s="13">
        <v>0.51700000000000002</v>
      </c>
      <c r="M30" s="11">
        <v>100</v>
      </c>
      <c r="N30" s="11"/>
      <c r="O30" s="13">
        <f t="shared" si="0"/>
        <v>37.722999999999985</v>
      </c>
      <c r="P30" s="13">
        <v>1.3720000000000001</v>
      </c>
      <c r="Q30" s="11">
        <v>100</v>
      </c>
      <c r="R30" s="11"/>
      <c r="S30" s="13">
        <f t="shared" si="18"/>
        <v>90.418000000000006</v>
      </c>
      <c r="T30" s="13">
        <v>3.68</v>
      </c>
      <c r="U30" s="11">
        <v>100</v>
      </c>
      <c r="V30" s="13"/>
      <c r="W30" s="13">
        <f t="shared" si="1"/>
        <v>211.64000000000007</v>
      </c>
      <c r="X30" s="13">
        <v>8.28000000000001</v>
      </c>
      <c r="Y30" s="11">
        <v>100</v>
      </c>
      <c r="Z30" s="13"/>
      <c r="AA30" s="13">
        <f t="shared" si="2"/>
        <v>432.02</v>
      </c>
      <c r="AB30" s="13">
        <v>15.9</v>
      </c>
      <c r="AC30" s="11">
        <v>100</v>
      </c>
      <c r="AD30" s="13"/>
      <c r="AE30" s="13">
        <f t="shared" si="3"/>
        <v>939.75000000000011</v>
      </c>
      <c r="AF30" s="13">
        <v>34.450000000000003</v>
      </c>
      <c r="AG30" s="11">
        <v>100</v>
      </c>
      <c r="AH30" s="11"/>
      <c r="AI30" s="13">
        <f t="shared" si="4"/>
        <v>1644.9199999999998</v>
      </c>
      <c r="AJ30" s="13">
        <v>60.3</v>
      </c>
      <c r="AK30" s="11">
        <v>100</v>
      </c>
      <c r="AL30" s="11"/>
      <c r="AM30" s="13">
        <f t="shared" si="5"/>
        <v>3517.6399999999971</v>
      </c>
      <c r="AN30" s="13">
        <v>131.69999999999999</v>
      </c>
      <c r="AO30" s="11">
        <v>100</v>
      </c>
      <c r="AP30" s="11"/>
      <c r="AQ30" s="53">
        <v>14.005000000000001</v>
      </c>
      <c r="AR30" s="35">
        <f t="shared" si="22"/>
        <v>0.46499999999999986</v>
      </c>
      <c r="AS30" s="11">
        <v>100</v>
      </c>
      <c r="AT30" s="34"/>
      <c r="AU30" s="13">
        <f t="shared" si="19"/>
        <v>26.422000000000001</v>
      </c>
      <c r="AV30" s="13">
        <v>1.264</v>
      </c>
      <c r="AW30" s="11">
        <v>100</v>
      </c>
      <c r="AX30" s="11"/>
      <c r="AY30" s="51">
        <f t="shared" si="6"/>
        <v>116.46299999999998</v>
      </c>
      <c r="AZ30" s="13">
        <v>6.1</v>
      </c>
      <c r="BA30" s="11">
        <v>100</v>
      </c>
      <c r="BB30" s="11"/>
      <c r="BC30" s="13">
        <f t="shared" si="7"/>
        <v>1098.81</v>
      </c>
      <c r="BD30" s="13">
        <v>44.5</v>
      </c>
      <c r="BE30" s="11">
        <v>100</v>
      </c>
      <c r="BF30" s="11"/>
      <c r="BG30" s="13">
        <f t="shared" si="20"/>
        <v>2.1429999999999998</v>
      </c>
      <c r="BH30" s="13">
        <v>5.8000000000000003E-2</v>
      </c>
      <c r="BI30" s="11">
        <v>1200</v>
      </c>
      <c r="BJ30" s="11"/>
      <c r="BK30" s="13">
        <f t="shared" si="8"/>
        <v>1.7869999999999999</v>
      </c>
      <c r="BL30" s="13">
        <v>5.0999999999999997E-2</v>
      </c>
      <c r="BM30" s="11">
        <v>1200</v>
      </c>
      <c r="BN30" s="11"/>
      <c r="BO30" s="13">
        <f t="shared" si="21"/>
        <v>5.19</v>
      </c>
      <c r="BP30" s="13">
        <v>0.18</v>
      </c>
      <c r="BQ30" s="11">
        <v>1200</v>
      </c>
      <c r="BR30" s="11"/>
      <c r="BS30" s="13">
        <f t="shared" si="9"/>
        <v>7.7920000000000016</v>
      </c>
      <c r="BT30" s="13">
        <v>0.28199999999999997</v>
      </c>
      <c r="BU30" s="11">
        <v>1200</v>
      </c>
      <c r="BV30" s="11"/>
      <c r="BW30" s="13">
        <f t="shared" si="10"/>
        <v>3.4049999999999998</v>
      </c>
      <c r="BX30" s="13">
        <v>9.6000000000000002E-2</v>
      </c>
      <c r="BY30" s="11">
        <v>1200</v>
      </c>
      <c r="BZ30" s="11"/>
      <c r="CA30" s="13">
        <f t="shared" si="11"/>
        <v>16.495999999999995</v>
      </c>
      <c r="CB30" s="13">
        <v>0.59799999999999998</v>
      </c>
      <c r="CC30" s="11">
        <v>1200</v>
      </c>
      <c r="CD30" s="11"/>
      <c r="CE30" s="13">
        <f t="shared" si="12"/>
        <v>22.697999999999993</v>
      </c>
      <c r="CF30" s="13">
        <v>1.1479999999999999</v>
      </c>
      <c r="CG30" s="23">
        <v>1200</v>
      </c>
      <c r="CH30" s="11"/>
      <c r="CI30" s="13">
        <f t="shared" si="13"/>
        <v>76.8</v>
      </c>
      <c r="CJ30" s="13">
        <v>4.5999999999999996</v>
      </c>
      <c r="CK30" s="23">
        <v>1200</v>
      </c>
      <c r="CL30" s="11"/>
      <c r="CM30" s="13">
        <f t="shared" si="14"/>
        <v>84.81</v>
      </c>
      <c r="CN30" s="13">
        <v>4.59</v>
      </c>
      <c r="CO30" s="23">
        <v>1200</v>
      </c>
      <c r="CP30" s="11"/>
      <c r="CQ30" s="13">
        <f t="shared" si="15"/>
        <v>75.45</v>
      </c>
      <c r="CR30" s="13">
        <v>4.3</v>
      </c>
      <c r="CS30" s="23">
        <v>1200</v>
      </c>
      <c r="CT30" s="11"/>
      <c r="CU30" s="34">
        <v>1345</v>
      </c>
      <c r="CV30" s="34">
        <v>51</v>
      </c>
      <c r="CW30" s="11">
        <v>100</v>
      </c>
      <c r="CX30" s="34"/>
      <c r="CY30" s="34">
        <v>2334</v>
      </c>
      <c r="CZ30" s="34">
        <v>88</v>
      </c>
      <c r="DA30" s="11">
        <v>100</v>
      </c>
      <c r="DB30" s="34"/>
      <c r="DC30" s="34"/>
      <c r="DD30" s="69" t="s">
        <v>67</v>
      </c>
      <c r="DE30" s="50"/>
      <c r="DF30" s="50"/>
      <c r="DG30" s="50"/>
      <c r="DH30" s="34"/>
      <c r="DI30" s="34"/>
      <c r="DJ30" s="34"/>
      <c r="DK30" s="34"/>
    </row>
    <row r="31" spans="1:115" ht="12.5" customHeight="1" x14ac:dyDescent="0.35">
      <c r="A31" s="1"/>
      <c r="B31" s="44" t="s">
        <v>14</v>
      </c>
      <c r="C31" s="33"/>
      <c r="D31" s="32" t="str">
        <f>IF(CH5&gt;=0,CH9,"")</f>
        <v/>
      </c>
      <c r="E31" s="20" t="str">
        <f>IF(CH5=1,"Feil i resultat?",IF(CH9=CH10,"","Inkonsistent."))</f>
        <v/>
      </c>
      <c r="F31" s="3">
        <f>C31/100</f>
        <v>0</v>
      </c>
      <c r="G31" s="35">
        <v>11.366</v>
      </c>
      <c r="H31" s="35">
        <f t="shared" si="16"/>
        <v>0.3490000000000002</v>
      </c>
      <c r="I31" s="11">
        <v>50</v>
      </c>
      <c r="J31" s="34"/>
      <c r="K31" s="13">
        <f t="shared" si="17"/>
        <v>18.010000000000005</v>
      </c>
      <c r="L31" s="13">
        <v>0.54700000000000004</v>
      </c>
      <c r="M31" s="11">
        <v>50</v>
      </c>
      <c r="N31" s="11"/>
      <c r="O31" s="13">
        <f t="shared" si="0"/>
        <v>39.194999999999986</v>
      </c>
      <c r="P31" s="13">
        <v>1.472</v>
      </c>
      <c r="Q31" s="11">
        <v>50</v>
      </c>
      <c r="R31" s="11"/>
      <c r="S31" s="13">
        <f t="shared" si="18"/>
        <v>94.298000000000002</v>
      </c>
      <c r="T31" s="13">
        <v>3.88</v>
      </c>
      <c r="U31" s="11">
        <v>50</v>
      </c>
      <c r="V31" s="13"/>
      <c r="W31" s="13">
        <f t="shared" si="1"/>
        <v>220.30000000000007</v>
      </c>
      <c r="X31" s="13">
        <v>8.6600000000000108</v>
      </c>
      <c r="Y31" s="11">
        <v>50</v>
      </c>
      <c r="Z31" s="13"/>
      <c r="AA31" s="13">
        <f t="shared" si="2"/>
        <v>448.57</v>
      </c>
      <c r="AB31" s="13">
        <v>16.55</v>
      </c>
      <c r="AC31" s="11">
        <v>50</v>
      </c>
      <c r="AD31" s="13"/>
      <c r="AE31" s="13">
        <f t="shared" si="3"/>
        <v>975.55000000000007</v>
      </c>
      <c r="AF31" s="13">
        <v>35.799999999999997</v>
      </c>
      <c r="AG31" s="11">
        <v>50</v>
      </c>
      <c r="AH31" s="11"/>
      <c r="AI31" s="13">
        <f t="shared" si="4"/>
        <v>1707.5199999999998</v>
      </c>
      <c r="AJ31" s="13">
        <v>62.6</v>
      </c>
      <c r="AK31" s="11">
        <v>50</v>
      </c>
      <c r="AL31" s="11"/>
      <c r="AM31" s="13">
        <f t="shared" si="5"/>
        <v>3654.339999999997</v>
      </c>
      <c r="AN31" s="13">
        <v>136.69999999999999</v>
      </c>
      <c r="AO31" s="11">
        <v>50</v>
      </c>
      <c r="AP31" s="11"/>
      <c r="AQ31" s="53">
        <v>14.485000000000001</v>
      </c>
      <c r="AR31" s="35">
        <f t="shared" si="22"/>
        <v>0.48000000000000043</v>
      </c>
      <c r="AS31" s="11">
        <v>50</v>
      </c>
      <c r="AT31" s="34"/>
      <c r="AU31" s="13">
        <f t="shared" si="19"/>
        <v>27.766000000000002</v>
      </c>
      <c r="AV31" s="13">
        <v>1.3440000000000001</v>
      </c>
      <c r="AW31" s="11">
        <v>50</v>
      </c>
      <c r="AX31" s="11"/>
      <c r="AY31" s="51">
        <f t="shared" si="6"/>
        <v>122.86299999999999</v>
      </c>
      <c r="AZ31" s="13">
        <v>6.4</v>
      </c>
      <c r="BA31" s="11">
        <v>50</v>
      </c>
      <c r="BB31" s="11"/>
      <c r="BC31" s="13">
        <f t="shared" si="7"/>
        <v>1145.1099999999999</v>
      </c>
      <c r="BD31" s="13">
        <v>46.3</v>
      </c>
      <c r="BE31" s="11">
        <v>50</v>
      </c>
      <c r="BF31" s="11"/>
      <c r="BG31" s="13">
        <f t="shared" si="20"/>
        <v>2.2009999999999996</v>
      </c>
      <c r="BH31" s="13">
        <v>5.8999999999999997E-2</v>
      </c>
      <c r="BI31" s="11">
        <v>1250</v>
      </c>
      <c r="BJ31" s="11"/>
      <c r="BK31" s="13">
        <f t="shared" si="8"/>
        <v>1.8379999999999999</v>
      </c>
      <c r="BL31" s="13">
        <v>5.1999999999999998E-2</v>
      </c>
      <c r="BM31" s="11">
        <v>1250</v>
      </c>
      <c r="BN31" s="11"/>
      <c r="BO31" s="13">
        <f t="shared" si="21"/>
        <v>5.37</v>
      </c>
      <c r="BP31" s="13">
        <v>0.18</v>
      </c>
      <c r="BQ31" s="11">
        <v>1250</v>
      </c>
      <c r="BR31" s="11"/>
      <c r="BS31" s="13">
        <f t="shared" si="9"/>
        <v>8.0740000000000016</v>
      </c>
      <c r="BT31" s="13">
        <v>0.28599999999999998</v>
      </c>
      <c r="BU31" s="11">
        <v>1250</v>
      </c>
      <c r="BV31" s="11"/>
      <c r="BW31" s="13">
        <f t="shared" si="10"/>
        <v>3.5009999999999999</v>
      </c>
      <c r="BX31" s="13">
        <v>9.9000000000000005E-2</v>
      </c>
      <c r="BY31" s="11">
        <v>1250</v>
      </c>
      <c r="BZ31" s="11"/>
      <c r="CA31" s="13">
        <f t="shared" si="11"/>
        <v>17.093999999999994</v>
      </c>
      <c r="CB31" s="13">
        <v>0.60599999999999998</v>
      </c>
      <c r="CC31" s="11">
        <v>1250</v>
      </c>
      <c r="CD31" s="11"/>
      <c r="CE31" s="13">
        <f t="shared" si="12"/>
        <v>23.845999999999993</v>
      </c>
      <c r="CF31" s="13">
        <v>1.1539999999999999</v>
      </c>
      <c r="CG31" s="23">
        <v>1250</v>
      </c>
      <c r="CH31" s="11"/>
      <c r="CI31" s="13">
        <f t="shared" si="13"/>
        <v>81.399999999999991</v>
      </c>
      <c r="CJ31" s="13">
        <v>4.5999999999999996</v>
      </c>
      <c r="CK31" s="23">
        <v>1250</v>
      </c>
      <c r="CL31" s="11"/>
      <c r="CM31" s="13">
        <f t="shared" si="14"/>
        <v>89.4</v>
      </c>
      <c r="CN31" s="13">
        <v>4.5999999999999996</v>
      </c>
      <c r="CO31" s="23">
        <v>1250</v>
      </c>
      <c r="CP31" s="11"/>
      <c r="CQ31" s="13">
        <f t="shared" si="15"/>
        <v>79.75</v>
      </c>
      <c r="CR31" s="13">
        <v>4.3499999999999996</v>
      </c>
      <c r="CS31" s="23">
        <v>1250</v>
      </c>
      <c r="CT31" s="11"/>
      <c r="CU31" s="34">
        <v>1398</v>
      </c>
      <c r="CV31" s="34">
        <v>53</v>
      </c>
      <c r="CW31" s="11">
        <v>50</v>
      </c>
      <c r="CX31" s="34"/>
      <c r="CY31" s="34">
        <v>2426</v>
      </c>
      <c r="CZ31" s="34">
        <v>92</v>
      </c>
      <c r="DA31" s="11">
        <v>50</v>
      </c>
      <c r="DB31" s="34"/>
      <c r="DC31" s="34"/>
      <c r="DD31" s="68" t="s">
        <v>68</v>
      </c>
      <c r="DE31" s="50"/>
      <c r="DF31" s="50"/>
      <c r="DG31" s="50"/>
      <c r="DH31" s="34"/>
      <c r="DI31" s="34"/>
      <c r="DJ31" s="34"/>
      <c r="DK31" s="34"/>
    </row>
    <row r="32" spans="1:115" ht="12.5" customHeight="1" x14ac:dyDescent="0.35">
      <c r="A32" s="1"/>
      <c r="B32" s="45" t="s">
        <v>15</v>
      </c>
      <c r="C32" s="33"/>
      <c r="D32" s="32" t="str">
        <f>IF(CL5&gt;=0,CL9,"")</f>
        <v/>
      </c>
      <c r="E32" s="20" t="str">
        <f>IF(CL5=1,"Feil i resultat?",IF(CL9=CL10,"","Inkonsistent."))</f>
        <v/>
      </c>
      <c r="F32" s="3">
        <f t="shared" ref="F32:F34" si="24">C32/100</f>
        <v>0</v>
      </c>
      <c r="G32" s="35">
        <v>11.750999999999999</v>
      </c>
      <c r="H32" s="35">
        <f t="shared" si="16"/>
        <v>0.38499999999999979</v>
      </c>
      <c r="I32" s="11">
        <v>0</v>
      </c>
      <c r="J32" s="34"/>
      <c r="K32" s="13">
        <f t="shared" si="17"/>
        <v>18.587000000000003</v>
      </c>
      <c r="L32" s="13">
        <v>0.57699999999999996</v>
      </c>
      <c r="M32" s="11">
        <v>0</v>
      </c>
      <c r="N32" s="11"/>
      <c r="O32" s="13">
        <f t="shared" si="0"/>
        <v>40.766999999999989</v>
      </c>
      <c r="P32" s="13">
        <v>1.5720000000000001</v>
      </c>
      <c r="Q32" s="11">
        <v>0</v>
      </c>
      <c r="R32" s="11"/>
      <c r="S32" s="13">
        <f t="shared" si="18"/>
        <v>98.378</v>
      </c>
      <c r="T32" s="13">
        <v>4.08</v>
      </c>
      <c r="U32" s="11">
        <v>0</v>
      </c>
      <c r="V32" s="13"/>
      <c r="W32" s="13">
        <f t="shared" si="1"/>
        <v>229.34000000000009</v>
      </c>
      <c r="X32" s="13">
        <v>9.0400000000000098</v>
      </c>
      <c r="Y32" s="11">
        <v>0</v>
      </c>
      <c r="Z32" s="13"/>
      <c r="AA32" s="13">
        <f t="shared" si="2"/>
        <v>465.77</v>
      </c>
      <c r="AB32" s="13">
        <v>17.2</v>
      </c>
      <c r="AC32" s="11">
        <v>0</v>
      </c>
      <c r="AD32" s="13"/>
      <c r="AE32" s="13">
        <f t="shared" si="3"/>
        <v>1012.7</v>
      </c>
      <c r="AF32" s="13">
        <v>37.15</v>
      </c>
      <c r="AG32" s="11">
        <v>0</v>
      </c>
      <c r="AH32" s="11"/>
      <c r="AI32" s="13">
        <f t="shared" si="4"/>
        <v>1772.4199999999998</v>
      </c>
      <c r="AJ32" s="13">
        <v>64.900000000000006</v>
      </c>
      <c r="AK32" s="11">
        <v>0</v>
      </c>
      <c r="AL32" s="11"/>
      <c r="AM32" s="13">
        <f t="shared" si="5"/>
        <v>3796.0399999999968</v>
      </c>
      <c r="AN32" s="13">
        <v>141.69999999999999</v>
      </c>
      <c r="AO32" s="11">
        <v>0</v>
      </c>
      <c r="AP32" s="11"/>
      <c r="AQ32" s="53">
        <v>14.98</v>
      </c>
      <c r="AR32" s="35">
        <f t="shared" si="22"/>
        <v>0.49499999999999922</v>
      </c>
      <c r="AS32" s="11">
        <v>0</v>
      </c>
      <c r="AT32" s="34"/>
      <c r="AU32" s="13">
        <f t="shared" si="19"/>
        <v>29.19</v>
      </c>
      <c r="AV32" s="13">
        <v>1.4239999999999999</v>
      </c>
      <c r="AW32" s="11">
        <v>0</v>
      </c>
      <c r="AX32" s="11"/>
      <c r="AY32" s="51">
        <f t="shared" si="6"/>
        <v>129.56299999999999</v>
      </c>
      <c r="AZ32" s="13">
        <v>6.7</v>
      </c>
      <c r="BA32" s="11">
        <v>0</v>
      </c>
      <c r="BB32" s="11"/>
      <c r="BC32" s="13">
        <f t="shared" si="7"/>
        <v>1193.2099999999998</v>
      </c>
      <c r="BD32" s="13">
        <v>48.1</v>
      </c>
      <c r="BE32" s="11">
        <v>0</v>
      </c>
      <c r="BF32" s="11"/>
      <c r="BG32" s="13">
        <f t="shared" si="20"/>
        <v>2.2599999999999998</v>
      </c>
      <c r="BH32" s="13">
        <v>0.06</v>
      </c>
      <c r="BI32" s="11">
        <v>1300</v>
      </c>
      <c r="BJ32" s="11"/>
      <c r="BK32" s="13">
        <f t="shared" si="8"/>
        <v>1.89</v>
      </c>
      <c r="BL32" s="13">
        <v>5.2999999999999999E-2</v>
      </c>
      <c r="BM32" s="11">
        <v>1300</v>
      </c>
      <c r="BN32" s="11"/>
      <c r="BO32" s="13">
        <f t="shared" si="21"/>
        <v>5.55</v>
      </c>
      <c r="BP32" s="13">
        <v>0.18</v>
      </c>
      <c r="BQ32" s="11">
        <v>1300</v>
      </c>
      <c r="BR32" s="11"/>
      <c r="BS32" s="13">
        <f t="shared" si="9"/>
        <v>8.3600000000000012</v>
      </c>
      <c r="BT32" s="13">
        <v>0.28999999999999998</v>
      </c>
      <c r="BU32" s="11">
        <v>1300</v>
      </c>
      <c r="BV32" s="11"/>
      <c r="BW32" s="13">
        <f t="shared" si="10"/>
        <v>3.6</v>
      </c>
      <c r="BX32" s="13">
        <v>0.10100000000000001</v>
      </c>
      <c r="BY32" s="11">
        <v>1300</v>
      </c>
      <c r="BZ32" s="11"/>
      <c r="CA32" s="13">
        <f t="shared" si="11"/>
        <v>17.699999999999996</v>
      </c>
      <c r="CB32" s="13">
        <v>0.61399999999999999</v>
      </c>
      <c r="CC32" s="11">
        <v>1300</v>
      </c>
      <c r="CD32" s="11"/>
      <c r="CE32" s="13">
        <f t="shared" si="12"/>
        <v>24.999999999999993</v>
      </c>
      <c r="CF32" s="13">
        <v>1.1599999999999999</v>
      </c>
      <c r="CG32" s="23">
        <v>1300</v>
      </c>
      <c r="CH32" s="11"/>
      <c r="CI32" s="13">
        <f t="shared" si="13"/>
        <v>85.999999999999986</v>
      </c>
      <c r="CJ32" s="13">
        <v>4.5999999999999996</v>
      </c>
      <c r="CK32" s="23">
        <v>1300</v>
      </c>
      <c r="CL32" s="11"/>
      <c r="CM32" s="13">
        <f t="shared" si="14"/>
        <v>94</v>
      </c>
      <c r="CN32" s="13">
        <v>4.5999999999999996</v>
      </c>
      <c r="CO32" s="23">
        <v>1300</v>
      </c>
      <c r="CP32" s="11"/>
      <c r="CQ32" s="13">
        <f t="shared" si="15"/>
        <v>84.1</v>
      </c>
      <c r="CR32" s="13">
        <v>4.4000000000000004</v>
      </c>
      <c r="CS32" s="23">
        <v>1300</v>
      </c>
      <c r="CT32" s="11"/>
      <c r="CU32" s="34">
        <v>1453</v>
      </c>
      <c r="CV32" s="34">
        <v>55</v>
      </c>
      <c r="CW32" s="11">
        <v>0</v>
      </c>
      <c r="CX32" s="34"/>
      <c r="CY32" s="34">
        <v>2521</v>
      </c>
      <c r="CZ32" s="34">
        <v>95</v>
      </c>
      <c r="DA32" s="11">
        <v>0</v>
      </c>
      <c r="DB32" s="34"/>
      <c r="DC32" s="34"/>
      <c r="DD32" s="68" t="s">
        <v>69</v>
      </c>
      <c r="DE32" s="50"/>
      <c r="DF32" s="50"/>
      <c r="DG32" s="50"/>
      <c r="DH32" s="34"/>
      <c r="DI32" s="34"/>
      <c r="DJ32" s="34"/>
      <c r="DK32" s="34"/>
    </row>
    <row r="33" spans="1:115" ht="12.5" customHeight="1" x14ac:dyDescent="0.35">
      <c r="A33" s="1"/>
      <c r="B33" s="45" t="s">
        <v>16</v>
      </c>
      <c r="C33" s="33"/>
      <c r="D33" s="32" t="str">
        <f>IF(CP5&gt;=0,CP9,"")</f>
        <v/>
      </c>
      <c r="E33" s="20" t="str">
        <f>IF(CP5=1,"Feil i resultat?",IF(CP9=CP10,"","Inkonsistent."))</f>
        <v/>
      </c>
      <c r="F33" s="3">
        <f t="shared" si="24"/>
        <v>0</v>
      </c>
      <c r="G33" s="34"/>
      <c r="H33" s="34"/>
      <c r="I33" s="34"/>
      <c r="J33" s="34"/>
      <c r="K33" s="11"/>
      <c r="L33" s="13"/>
      <c r="M33" s="11"/>
      <c r="N33" s="11"/>
      <c r="O33" s="13"/>
      <c r="P33" s="13"/>
      <c r="Q33" s="11"/>
      <c r="R33" s="11"/>
      <c r="S33" s="11"/>
      <c r="T33" s="13"/>
      <c r="U33" s="11"/>
      <c r="V33" s="13"/>
      <c r="W33" s="11"/>
      <c r="X33" s="13"/>
      <c r="Y33" s="11"/>
      <c r="Z33" s="13"/>
      <c r="AA33" s="35"/>
      <c r="AB33" s="13"/>
      <c r="AC33" s="11"/>
      <c r="AD33" s="13"/>
      <c r="AE33" s="34"/>
      <c r="AF33" s="13"/>
      <c r="AG33" s="11"/>
      <c r="AH33" s="11"/>
      <c r="AI33" s="11"/>
      <c r="AJ33" s="13"/>
      <c r="AK33" s="11"/>
      <c r="AL33" s="11"/>
      <c r="AM33" s="34"/>
      <c r="AN33" s="13"/>
      <c r="AO33" s="11"/>
      <c r="AP33" s="11"/>
      <c r="AQ33" s="13"/>
      <c r="AR33" s="13"/>
      <c r="AS33" s="11"/>
      <c r="AT33" s="11"/>
      <c r="AU33" s="13"/>
      <c r="AV33" s="13"/>
      <c r="AW33" s="11"/>
      <c r="AX33" s="11"/>
      <c r="AY33" s="11"/>
      <c r="AZ33" s="13"/>
      <c r="BA33" s="11"/>
      <c r="BB33" s="11"/>
      <c r="BC33" s="11"/>
      <c r="BD33" s="5"/>
      <c r="BE33" s="4"/>
      <c r="BF33" s="11"/>
      <c r="BG33" s="13"/>
      <c r="BH33" s="5"/>
      <c r="BI33" s="14"/>
      <c r="BJ33" s="14"/>
      <c r="BK33" s="13"/>
      <c r="BL33" s="13"/>
      <c r="BM33" s="14"/>
      <c r="BN33" s="14"/>
      <c r="BO33" s="13"/>
      <c r="BP33" s="13"/>
      <c r="BQ33" s="14"/>
      <c r="BR33" s="14"/>
      <c r="BS33" s="13"/>
      <c r="BT33" s="13"/>
      <c r="BU33" s="14"/>
      <c r="BV33" s="14"/>
      <c r="BW33" s="13"/>
      <c r="BX33" s="13"/>
      <c r="BY33" s="14"/>
      <c r="BZ33" s="14"/>
      <c r="CA33" s="13"/>
      <c r="CB33" s="13"/>
      <c r="CC33" s="23"/>
      <c r="CD33" s="14"/>
      <c r="CE33" s="13"/>
      <c r="CF33" s="13"/>
      <c r="CG33" s="23"/>
      <c r="CH33" s="14"/>
      <c r="CI33" s="13"/>
      <c r="CJ33" s="13"/>
      <c r="CK33" s="23"/>
      <c r="CL33" s="14"/>
      <c r="CM33" s="13"/>
      <c r="CN33" s="13"/>
      <c r="CO33" s="23"/>
      <c r="CP33" s="1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68" t="s">
        <v>70</v>
      </c>
      <c r="DE33" s="50"/>
      <c r="DF33" s="50"/>
      <c r="DG33" s="50"/>
      <c r="DH33" s="34"/>
      <c r="DI33" s="34"/>
      <c r="DJ33" s="34"/>
      <c r="DK33" s="34"/>
    </row>
    <row r="34" spans="1:115" ht="12.5" customHeight="1" x14ac:dyDescent="0.35">
      <c r="A34" s="1"/>
      <c r="B34" s="77" t="s">
        <v>13</v>
      </c>
      <c r="C34" s="33"/>
      <c r="D34" s="32" t="str">
        <f>IF(CT5&gt;=0,CT9,"")</f>
        <v/>
      </c>
      <c r="E34" s="42" t="str">
        <f>IF(CT5=1,"Feil i resultat?",IF(CT9=CT10,"","Inkonsistent."))</f>
        <v/>
      </c>
      <c r="F34" s="3">
        <f t="shared" si="24"/>
        <v>0</v>
      </c>
      <c r="G34" s="1"/>
      <c r="H34" s="1"/>
      <c r="I34" s="1"/>
      <c r="J34" s="1"/>
      <c r="K34" s="11"/>
      <c r="L34" s="11"/>
      <c r="M34" s="11"/>
      <c r="N34" s="11"/>
      <c r="O34" s="13"/>
      <c r="P34" s="13"/>
      <c r="Q34" s="11"/>
      <c r="R34" s="11"/>
      <c r="S34" s="11"/>
      <c r="T34" s="11"/>
      <c r="U34" s="26"/>
      <c r="V34" s="27"/>
      <c r="W34" s="11"/>
      <c r="X34" s="27"/>
      <c r="Y34" s="11"/>
      <c r="Z34" s="27"/>
      <c r="AA34" s="50"/>
      <c r="AB34" s="49"/>
      <c r="AC34" s="11"/>
      <c r="AD34" s="27"/>
      <c r="AE34" s="50"/>
      <c r="AF34" s="49"/>
      <c r="AG34" s="11"/>
      <c r="AH34" s="11"/>
      <c r="AI34" s="6"/>
      <c r="AJ34" s="49"/>
      <c r="AK34" s="11"/>
      <c r="AL34" s="11"/>
      <c r="AM34" s="50"/>
      <c r="AN34" s="49"/>
      <c r="AO34" s="11"/>
      <c r="AP34" s="11"/>
      <c r="AQ34" s="6"/>
      <c r="AR34" s="7"/>
      <c r="AS34" s="11"/>
      <c r="AT34" s="11"/>
      <c r="AU34" s="6"/>
      <c r="AV34" s="6"/>
      <c r="AW34" s="11"/>
      <c r="AX34" s="11"/>
      <c r="AY34" s="6"/>
      <c r="AZ34" s="7"/>
      <c r="BA34" s="11"/>
      <c r="BB34" s="11"/>
      <c r="BC34" s="6"/>
      <c r="BD34" s="13"/>
      <c r="BE34" s="11"/>
      <c r="BF34" s="11"/>
      <c r="BG34" s="7"/>
      <c r="BH34" s="13"/>
      <c r="BI34" s="11"/>
      <c r="BJ34" s="11"/>
      <c r="BK34" s="7"/>
      <c r="BL34" s="7"/>
      <c r="BM34" s="11"/>
      <c r="BN34" s="11"/>
      <c r="BO34" s="7"/>
      <c r="BP34" s="7"/>
      <c r="BQ34" s="11"/>
      <c r="BR34" s="11"/>
      <c r="BS34" s="7"/>
      <c r="BT34" s="7"/>
      <c r="BU34" s="11"/>
      <c r="BV34" s="11"/>
      <c r="BW34" s="7"/>
      <c r="BX34" s="7"/>
      <c r="BY34" s="11"/>
      <c r="BZ34" s="11"/>
      <c r="CA34" s="7"/>
      <c r="CB34" s="7"/>
      <c r="CC34" s="9"/>
      <c r="CD34" s="11"/>
      <c r="CE34" s="7"/>
      <c r="CF34" s="7"/>
      <c r="CG34" s="9"/>
      <c r="CH34" s="11"/>
      <c r="CI34" s="7"/>
      <c r="CJ34" s="7"/>
      <c r="CK34" s="9"/>
      <c r="CL34" s="11"/>
      <c r="CM34" s="7"/>
      <c r="CN34" s="7"/>
      <c r="CO34" s="9"/>
      <c r="CP34" s="1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34"/>
      <c r="DD34" s="68" t="s">
        <v>71</v>
      </c>
      <c r="DE34" s="50"/>
      <c r="DF34" s="50"/>
      <c r="DG34" s="50"/>
      <c r="DH34" s="34"/>
      <c r="DI34" s="34"/>
      <c r="DJ34" s="34"/>
      <c r="DK34" s="1"/>
    </row>
    <row r="35" spans="1:115" ht="12.5" customHeight="1" x14ac:dyDescent="0.35">
      <c r="A35" s="1"/>
      <c r="B35" s="78"/>
      <c r="C35" s="30"/>
      <c r="D35" s="31"/>
      <c r="E35" s="20"/>
      <c r="F35" s="2"/>
      <c r="G35" s="1"/>
      <c r="H35" s="1"/>
      <c r="I35" s="1"/>
      <c r="J35" s="1"/>
      <c r="K35" s="11"/>
      <c r="L35" s="11"/>
      <c r="M35" s="2"/>
      <c r="N35" s="2"/>
      <c r="O35" s="2"/>
      <c r="P35" s="1"/>
      <c r="Q35" s="1"/>
      <c r="R35" s="1"/>
      <c r="S35" s="1"/>
      <c r="T35" s="2"/>
      <c r="U35" s="2"/>
      <c r="V35" s="2"/>
      <c r="W35" s="2"/>
      <c r="X35" s="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7"/>
      <c r="AS35" s="11"/>
      <c r="AT35" s="1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ht="12.5" customHeight="1" x14ac:dyDescent="0.35">
      <c r="A36" s="1"/>
      <c r="B36" s="44" t="s">
        <v>50</v>
      </c>
      <c r="C36" s="29"/>
      <c r="D36" s="32" t="str">
        <f>IF(CX5&gt;=0,CX9,"")</f>
        <v/>
      </c>
      <c r="E36" s="20" t="str">
        <f>IF(CX5=1,"Feil i resultat?",IF(CX9=CX10,"","Inkonsistent."))</f>
        <v/>
      </c>
      <c r="F36" s="3">
        <f>INT(C36/10000)*60+(C36-INT(C36/10000)*10000)/100</f>
        <v>0</v>
      </c>
      <c r="G36" s="1"/>
      <c r="H36" s="1"/>
      <c r="I36" s="1"/>
      <c r="J36" s="1"/>
      <c r="K36" s="11"/>
      <c r="L36" s="11"/>
      <c r="M36" s="2"/>
      <c r="N36" s="2"/>
      <c r="O36" s="2"/>
      <c r="P36" s="1"/>
      <c r="Q36" s="1"/>
      <c r="R36" s="1"/>
      <c r="S36" s="1"/>
      <c r="T36" s="2"/>
      <c r="U36" s="2"/>
      <c r="V36" s="2"/>
      <c r="W36" s="2"/>
      <c r="X36" s="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7"/>
      <c r="AS36" s="11"/>
      <c r="AT36" s="1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ht="12.5" customHeight="1" thickBot="1" x14ac:dyDescent="0.4">
      <c r="A37" s="1"/>
      <c r="B37" s="70" t="s">
        <v>51</v>
      </c>
      <c r="C37" s="71"/>
      <c r="D37" s="72" t="str">
        <f>IF(DB5&gt;=0,DB9,"")</f>
        <v/>
      </c>
      <c r="E37" s="20" t="str">
        <f>IF(DB5=1,"Feil i resultat?",IF(DB9=DB10,"","Inkonsistent."))</f>
        <v/>
      </c>
      <c r="F37" s="3">
        <f>INT(C37/10000)*60+(C37-INT(C37/10000)*10000)/100</f>
        <v>0</v>
      </c>
      <c r="G37" s="2"/>
      <c r="H37" s="1"/>
      <c r="I37" s="1"/>
      <c r="J37" s="1"/>
      <c r="K37" s="11"/>
      <c r="L37" s="11"/>
      <c r="M37" s="2"/>
      <c r="N37" s="2"/>
      <c r="O37" s="2"/>
      <c r="P37" s="1"/>
      <c r="Q37" s="1"/>
      <c r="R37" s="1"/>
      <c r="S37" s="1"/>
      <c r="T37" s="2"/>
      <c r="U37" s="2"/>
      <c r="V37" s="2"/>
      <c r="W37" s="2"/>
      <c r="X37" s="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7"/>
      <c r="AS37" s="11"/>
      <c r="AT37" s="1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x14ac:dyDescent="0.35">
      <c r="A38" s="2"/>
      <c r="B38" s="43"/>
      <c r="C38" s="43"/>
      <c r="D38" s="43"/>
      <c r="E38" s="43"/>
      <c r="F38" s="62">
        <v>9.9999999999999994E-12</v>
      </c>
      <c r="G38" s="1"/>
      <c r="H38" s="1"/>
      <c r="I38" s="1"/>
      <c r="J38" s="1"/>
      <c r="K38" s="11"/>
      <c r="L38" s="11"/>
      <c r="M38" s="2"/>
      <c r="N38" s="2"/>
      <c r="O38" s="2"/>
      <c r="P38" s="1"/>
      <c r="Q38" s="1"/>
      <c r="R38" s="1"/>
      <c r="S38" s="1"/>
      <c r="T38" s="2"/>
      <c r="U38" s="2"/>
      <c r="V38" s="2"/>
      <c r="W38" s="2"/>
      <c r="X38" s="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7"/>
      <c r="AS38" s="11"/>
      <c r="AT38" s="1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2"/>
      <c r="DD38" s="2"/>
      <c r="DE38" s="1"/>
      <c r="DF38" s="1"/>
      <c r="DG38" s="1"/>
      <c r="DH38" s="1"/>
      <c r="DI38" s="1"/>
      <c r="DJ38" s="1"/>
      <c r="DK38" s="1"/>
    </row>
    <row r="39" spans="1:115" x14ac:dyDescent="0.35">
      <c r="A39" s="1"/>
      <c r="B39" s="2"/>
      <c r="C39" s="2"/>
      <c r="D39" s="2"/>
      <c r="E39" s="2"/>
      <c r="F39" s="2"/>
      <c r="G39" s="2"/>
      <c r="H39" s="2"/>
      <c r="I39" s="2"/>
      <c r="J39" s="2"/>
      <c r="K39" s="37"/>
      <c r="L39" s="3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55"/>
      <c r="AR39" s="73"/>
      <c r="AS39" s="37"/>
      <c r="AT39" s="37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1"/>
      <c r="DE39" s="1"/>
      <c r="DF39" s="1"/>
      <c r="DG39" s="1"/>
      <c r="DH39" s="1"/>
      <c r="DI39" s="1"/>
      <c r="DJ39" s="1"/>
      <c r="DK39" s="1"/>
    </row>
    <row r="40" spans="1:115" x14ac:dyDescent="0.35">
      <c r="A40" s="1"/>
      <c r="B40" s="2"/>
      <c r="C40" s="2"/>
      <c r="D40" s="2"/>
      <c r="E40" s="2"/>
      <c r="F40" s="74"/>
      <c r="G40" s="2"/>
      <c r="H40" s="2"/>
      <c r="I40" s="2"/>
      <c r="J40" s="2"/>
      <c r="K40" s="37"/>
      <c r="L40" s="3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55"/>
      <c r="AR40" s="73"/>
      <c r="AS40" s="37"/>
      <c r="AT40" s="37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1"/>
      <c r="DE40" s="1"/>
      <c r="DF40" s="1"/>
      <c r="DG40" s="1"/>
      <c r="DH40" s="1"/>
      <c r="DI40" s="1"/>
      <c r="DJ40" s="1"/>
      <c r="DK40" s="1"/>
    </row>
    <row r="41" spans="1:115" x14ac:dyDescent="0.35">
      <c r="A41" s="1"/>
      <c r="B41" s="1"/>
      <c r="C41" s="1"/>
      <c r="D41" s="1"/>
      <c r="E41" s="1"/>
      <c r="F41" s="21"/>
      <c r="G41" s="1"/>
      <c r="H41" s="1"/>
      <c r="I41" s="1"/>
      <c r="J41" s="1"/>
      <c r="K41" s="11"/>
      <c r="L41" s="11"/>
      <c r="M41" s="2"/>
      <c r="N41" s="2"/>
      <c r="O41" s="2"/>
      <c r="P41" s="1"/>
      <c r="Q41" s="1"/>
      <c r="R41" s="1"/>
      <c r="S41" s="1"/>
      <c r="T41" s="2"/>
      <c r="U41" s="2"/>
      <c r="V41" s="2"/>
      <c r="W41" s="2"/>
      <c r="X41" s="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7"/>
      <c r="AS41" s="11"/>
      <c r="AT41" s="1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x14ac:dyDescent="0.35">
      <c r="A42" s="2"/>
      <c r="B42" s="1"/>
      <c r="C42" s="1"/>
      <c r="D42" s="1"/>
      <c r="E42" s="1"/>
      <c r="F42" s="2"/>
      <c r="G42" s="1"/>
      <c r="H42" s="1"/>
      <c r="I42" s="1"/>
      <c r="J42" s="1"/>
      <c r="K42" s="11"/>
      <c r="L42" s="11"/>
      <c r="M42" s="2"/>
      <c r="N42" s="2"/>
      <c r="O42" s="2"/>
      <c r="P42" s="1"/>
      <c r="Q42" s="1"/>
      <c r="R42" s="1"/>
      <c r="S42" s="1"/>
      <c r="T42" s="2"/>
      <c r="U42" s="2"/>
      <c r="V42" s="2"/>
      <c r="W42" s="2"/>
      <c r="X42" s="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7"/>
      <c r="AS42" s="11"/>
      <c r="AT42" s="1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x14ac:dyDescent="0.35">
      <c r="A43" s="1"/>
      <c r="B43" s="1"/>
      <c r="C43" s="1"/>
      <c r="D43" s="1"/>
      <c r="E43" s="1"/>
      <c r="F43" s="2"/>
      <c r="G43" s="1"/>
      <c r="H43" s="1"/>
      <c r="I43" s="1"/>
      <c r="J43" s="1"/>
      <c r="K43" s="11"/>
      <c r="L43" s="11"/>
      <c r="M43" s="2"/>
      <c r="N43" s="2"/>
      <c r="O43" s="2"/>
      <c r="P43" s="1"/>
      <c r="Q43" s="1"/>
      <c r="R43" s="1"/>
      <c r="S43" s="1"/>
      <c r="T43" s="2"/>
      <c r="U43" s="2"/>
      <c r="V43" s="2"/>
      <c r="W43" s="2"/>
      <c r="X43" s="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7"/>
      <c r="AS43" s="11"/>
      <c r="AT43" s="1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x14ac:dyDescent="0.35">
      <c r="B44" s="50"/>
      <c r="C44" s="50"/>
      <c r="H44" s="1"/>
      <c r="I44" s="1"/>
      <c r="J44" s="1"/>
      <c r="K44" s="11"/>
      <c r="L44" s="11"/>
      <c r="AR44" s="7"/>
      <c r="AS44" s="11"/>
      <c r="AT44" s="11"/>
    </row>
    <row r="45" spans="1:115" x14ac:dyDescent="0.35">
      <c r="H45" s="1"/>
      <c r="I45" s="1"/>
      <c r="J45" s="1"/>
      <c r="K45" s="11"/>
      <c r="L45" s="11"/>
      <c r="AR45" s="7"/>
      <c r="AS45" s="11"/>
      <c r="AT45" s="11"/>
    </row>
    <row r="46" spans="1:115" x14ac:dyDescent="0.35">
      <c r="H46" s="1"/>
      <c r="I46" s="1"/>
      <c r="J46" s="1"/>
      <c r="K46" s="11"/>
      <c r="L46" s="11"/>
      <c r="AR46" s="7"/>
      <c r="AS46" s="11"/>
      <c r="AT46" s="11"/>
    </row>
    <row r="47" spans="1:115" x14ac:dyDescent="0.35">
      <c r="H47" s="1"/>
      <c r="I47" s="1"/>
      <c r="J47" s="1"/>
      <c r="K47" s="11"/>
      <c r="L47" s="11"/>
      <c r="AR47" s="7"/>
      <c r="AS47" s="11"/>
      <c r="AT47" s="11"/>
    </row>
    <row r="48" spans="1:115" x14ac:dyDescent="0.35">
      <c r="H48" s="1"/>
      <c r="I48" s="1"/>
      <c r="J48" s="1"/>
      <c r="K48" s="11"/>
      <c r="L48" s="11"/>
      <c r="AR48" s="7"/>
      <c r="AS48" s="11"/>
      <c r="AT48" s="11"/>
    </row>
    <row r="49" spans="8:46" x14ac:dyDescent="0.35">
      <c r="H49" s="1"/>
      <c r="I49" s="1"/>
      <c r="J49" s="1"/>
      <c r="K49" s="11"/>
      <c r="L49" s="11"/>
      <c r="AR49" s="7"/>
      <c r="AS49" s="11"/>
      <c r="AT49" s="11"/>
    </row>
    <row r="50" spans="8:46" x14ac:dyDescent="0.35">
      <c r="H50" s="1"/>
      <c r="I50" s="1"/>
      <c r="J50" s="1"/>
      <c r="K50" s="11"/>
      <c r="L50" s="11"/>
      <c r="AR50" s="7"/>
      <c r="AS50" s="11"/>
      <c r="AT50" s="11"/>
    </row>
    <row r="51" spans="8:46" x14ac:dyDescent="0.35">
      <c r="H51" s="1"/>
      <c r="I51" s="1"/>
      <c r="J51" s="1"/>
      <c r="K51" s="11"/>
      <c r="L51" s="11"/>
      <c r="AR51" s="7"/>
      <c r="AS51" s="11"/>
      <c r="AT51" s="11"/>
    </row>
    <row r="52" spans="8:46" x14ac:dyDescent="0.35">
      <c r="H52" s="1"/>
      <c r="I52" s="1"/>
      <c r="J52" s="1"/>
      <c r="K52" s="11"/>
      <c r="L52" s="11"/>
      <c r="AR52" s="7"/>
      <c r="AS52" s="11"/>
      <c r="AT52" s="11"/>
    </row>
    <row r="53" spans="8:46" x14ac:dyDescent="0.35">
      <c r="H53" s="1"/>
      <c r="I53" s="1"/>
      <c r="J53" s="1"/>
      <c r="K53" s="11"/>
      <c r="L53" s="11"/>
      <c r="AR53" s="7"/>
      <c r="AS53" s="11"/>
      <c r="AT53" s="11"/>
    </row>
    <row r="54" spans="8:46" x14ac:dyDescent="0.35">
      <c r="H54" s="1"/>
      <c r="I54" s="1"/>
      <c r="J54" s="1"/>
      <c r="K54" s="11"/>
      <c r="L54" s="11"/>
      <c r="AR54" s="7"/>
      <c r="AS54" s="11"/>
      <c r="AT54" s="11"/>
    </row>
    <row r="55" spans="8:46" x14ac:dyDescent="0.35">
      <c r="H55" s="1"/>
      <c r="I55" s="1"/>
      <c r="J55" s="1"/>
      <c r="K55" s="11"/>
      <c r="L55" s="11"/>
      <c r="AR55" s="7"/>
      <c r="AS55" s="11"/>
      <c r="AT55" s="11"/>
    </row>
    <row r="56" spans="8:46" x14ac:dyDescent="0.35">
      <c r="H56" s="1"/>
      <c r="I56" s="1"/>
      <c r="J56" s="1"/>
      <c r="K56" s="11"/>
      <c r="L56" s="11"/>
      <c r="AR56" s="7"/>
      <c r="AS56" s="11"/>
      <c r="AT56" s="11"/>
    </row>
    <row r="57" spans="8:46" x14ac:dyDescent="0.35">
      <c r="H57" s="1"/>
      <c r="I57" s="1"/>
      <c r="J57" s="1"/>
      <c r="K57" s="11"/>
      <c r="L57" s="11"/>
      <c r="AR57" s="7"/>
      <c r="AS57" s="11"/>
      <c r="AT57" s="11"/>
    </row>
    <row r="58" spans="8:46" x14ac:dyDescent="0.35">
      <c r="H58" s="1"/>
      <c r="I58" s="1"/>
      <c r="J58" s="1"/>
      <c r="K58" s="11"/>
      <c r="L58" s="11"/>
      <c r="AR58" s="7"/>
      <c r="AS58" s="11"/>
      <c r="AT58" s="11"/>
    </row>
    <row r="59" spans="8:46" x14ac:dyDescent="0.35">
      <c r="H59" s="1"/>
      <c r="I59" s="1"/>
      <c r="J59" s="1"/>
      <c r="K59" s="11"/>
      <c r="L59" s="11"/>
      <c r="AR59" s="7"/>
      <c r="AS59" s="11"/>
      <c r="AT59" s="11"/>
    </row>
    <row r="60" spans="8:46" x14ac:dyDescent="0.35">
      <c r="H60" s="1"/>
      <c r="I60" s="1"/>
      <c r="J60" s="1"/>
      <c r="K60" s="11"/>
      <c r="L60" s="11"/>
      <c r="AR60" s="7"/>
      <c r="AS60" s="11"/>
      <c r="AT60" s="11"/>
    </row>
    <row r="61" spans="8:46" x14ac:dyDescent="0.35">
      <c r="H61" s="1"/>
      <c r="I61" s="1"/>
      <c r="J61" s="1"/>
      <c r="K61" s="11"/>
      <c r="L61" s="11"/>
      <c r="AR61" s="7"/>
      <c r="AS61" s="11"/>
      <c r="AT61" s="11"/>
    </row>
    <row r="62" spans="8:46" x14ac:dyDescent="0.35">
      <c r="H62" s="1"/>
      <c r="I62" s="1"/>
      <c r="J62" s="1"/>
      <c r="K62" s="11"/>
      <c r="L62" s="11"/>
      <c r="AR62" s="7"/>
      <c r="AS62" s="11"/>
      <c r="AT62" s="11"/>
    </row>
    <row r="63" spans="8:46" x14ac:dyDescent="0.35">
      <c r="AR63" s="7"/>
      <c r="AS63" s="11"/>
      <c r="AT63" s="11"/>
    </row>
  </sheetData>
  <mergeCells count="1">
    <mergeCell ref="B2:E2"/>
  </mergeCells>
  <conditionalFormatting sqref="C9 C11:C14 C22">
    <cfRule type="cellIs" priority="16" stopIfTrue="1" operator="between">
      <formula>0</formula>
      <formula>29</formula>
    </cfRule>
  </conditionalFormatting>
  <conditionalFormatting sqref="C36">
    <cfRule type="cellIs" priority="15" stopIfTrue="1" operator="between">
      <formula>0</formula>
      <formula>29</formula>
    </cfRule>
  </conditionalFormatting>
  <conditionalFormatting sqref="C4">
    <cfRule type="cellIs" priority="13" stopIfTrue="1" operator="between">
      <formula>0</formula>
      <formula>29</formula>
    </cfRule>
  </conditionalFormatting>
  <conditionalFormatting sqref="C5">
    <cfRule type="cellIs" priority="12" stopIfTrue="1" operator="between">
      <formula>0</formula>
      <formula>29</formula>
    </cfRule>
  </conditionalFormatting>
  <conditionalFormatting sqref="C6">
    <cfRule type="cellIs" priority="11" stopIfTrue="1" operator="between">
      <formula>0</formula>
      <formula>29</formula>
    </cfRule>
  </conditionalFormatting>
  <conditionalFormatting sqref="C7">
    <cfRule type="cellIs" priority="10" stopIfTrue="1" operator="between">
      <formula>0</formula>
      <formula>29</formula>
    </cfRule>
  </conditionalFormatting>
  <conditionalFormatting sqref="C8">
    <cfRule type="cellIs" priority="9" stopIfTrue="1" operator="between">
      <formula>0</formula>
      <formula>29</formula>
    </cfRule>
  </conditionalFormatting>
  <conditionalFormatting sqref="C10">
    <cfRule type="cellIs" priority="8" stopIfTrue="1" operator="between">
      <formula>0</formula>
      <formula>29</formula>
    </cfRule>
  </conditionalFormatting>
  <conditionalFormatting sqref="C17">
    <cfRule type="cellIs" priority="7" stopIfTrue="1" operator="between">
      <formula>0</formula>
      <formula>29</formula>
    </cfRule>
  </conditionalFormatting>
  <conditionalFormatting sqref="C18">
    <cfRule type="cellIs" priority="6" stopIfTrue="1" operator="between">
      <formula>0</formula>
      <formula>29</formula>
    </cfRule>
  </conditionalFormatting>
  <conditionalFormatting sqref="C20">
    <cfRule type="cellIs" priority="5" stopIfTrue="1" operator="between">
      <formula>0</formula>
      <formula>29</formula>
    </cfRule>
  </conditionalFormatting>
  <conditionalFormatting sqref="C21">
    <cfRule type="cellIs" priority="4" stopIfTrue="1" operator="between">
      <formula>0</formula>
      <formula>29</formula>
    </cfRule>
  </conditionalFormatting>
  <conditionalFormatting sqref="C19">
    <cfRule type="cellIs" priority="3" stopIfTrue="1" operator="between">
      <formula>0</formula>
      <formula>29</formula>
    </cfRule>
  </conditionalFormatting>
  <conditionalFormatting sqref="C15">
    <cfRule type="cellIs" priority="2" stopIfTrue="1" operator="between">
      <formula>0</formula>
      <formula>29</formula>
    </cfRule>
  </conditionalFormatting>
  <conditionalFormatting sqref="C37">
    <cfRule type="cellIs" priority="1" stopIfTrue="1" operator="between">
      <formula>0</formula>
      <formula>29</formula>
    </cfRule>
  </conditionalFormatting>
  <dataValidations count="12">
    <dataValidation type="whole" allowBlank="1" showInputMessage="1" showErrorMessage="1" errorTitle="Måleresultatet må angis i cm." sqref="C24:C28" xr:uid="{F3573AC5-40BE-40F1-ABB0-17DAD907D490}">
      <formula1>0</formula1>
      <formula2>999</formula2>
    </dataValidation>
    <dataValidation type="whole" allowBlank="1" showInputMessage="1" showErrorMessage="1" errorTitle="Måleresultatet må angis i cm." sqref="C31:C34 C29" xr:uid="{40A00FE3-FA78-4FD3-9A00-86EA41EE2B04}">
      <formula1>0</formula1>
      <formula2>9999</formula2>
    </dataValidation>
    <dataValidation type="whole" allowBlank="1" showInputMessage="1" showErrorMessage="1" sqref="B34" xr:uid="{36669E83-D57E-417B-AEEE-F3782D48F52C}">
      <formula1>-1</formula1>
      <formula2>114</formula2>
    </dataValidation>
    <dataValidation type="whole" allowBlank="1" showErrorMessage="1" errorTitle="Elektronisk tid skal angis" error="fortløpende - 6 sifre - i min., sek. og 1/100 sek. uten skilletegn._x000a_" promptTitle="Elektronisk tid skal angis" prompt="fortløpende i sek. og 1/100 sek. uten skilletegn." sqref="C15" xr:uid="{8D26E309-E57D-4675-A9D6-524FE3789553}">
      <formula1>0</formula1>
      <formula2>9595999</formula2>
    </dataValidation>
    <dataValidation type="whole" allowBlank="1" showInputMessage="1" showErrorMessage="1" errorTitle="Elektronisk tid skal angis" error="fortløpende - 5 eller 6 sifre - i min., sek. og 1/100 sek. uten skilletegn._x000a_" sqref="C22 C13:C14" xr:uid="{E1FDA476-325D-450F-9824-81DC5B340CB6}">
      <formula1>0</formula1>
      <formula2>595999</formula2>
    </dataValidation>
    <dataValidation type="whole" allowBlank="1" showInputMessage="1" showErrorMessage="1" errorTitle="Elektronisk tid skal angis" error="fortløpende - 5 sifre - i min., sek. og 1/100 sek. uten skilletegn._x000a_" sqref="C11:C12" xr:uid="{5BAE7F2A-1440-4A7B-B7B2-BD0F73007DFD}">
      <formula1>0</formula1>
      <formula2>95999</formula2>
    </dataValidation>
    <dataValidation type="whole" allowBlank="1" showInputMessage="1" showErrorMessage="1" errorTitle="Manuell tid skal angis" error="fortløpende - 3 eller 4 sifre - i min.(evt.), sek. og 1/10 sek." sqref="C10 C21" xr:uid="{7616D908-56D7-446E-9249-54224403D820}">
      <formula1>0</formula1>
      <formula2>9599</formula2>
    </dataValidation>
    <dataValidation type="whole" allowBlank="1" showInputMessage="1" showErrorMessage="1" errorTitle="Elektronisk tid skal angis" error="fortløpende - 4 eller 5 sifre - i (evt.) min. - sek. og 1/100 sek. uten skilletegn._x000a_" sqref="C9 C20" xr:uid="{4E01B449-6D2C-4535-9E7F-E8DB2D706184}">
      <formula1>0</formula1>
      <formula2>95999</formula2>
    </dataValidation>
    <dataValidation type="whole" allowBlank="1" showErrorMessage="1" errorTitle="Manuell tid skal angis" error="fortløpende - 2 eller 3 sifre - i sek. og 1/10 sek. uten skilletegn." promptTitle="Elektronisk tid skal angis" prompt="fortløpende i sek. og 1/100 sek. uten skilletegn." sqref="C6 C19" xr:uid="{7240897A-BF35-4582-8A2A-DEB4DE273941}">
      <formula1>0</formula1>
      <formula2>599</formula2>
    </dataValidation>
    <dataValidation type="whole" allowBlank="1" showErrorMessage="1" errorTitle="Elektronisk tid skal angis" error="fortløpende - 3 eller 4 sifre - i sek. og 1/100 sek. uten skilletegn._x000a_" promptTitle="Elektronisk tid skal angis" prompt="fortløpende i sek. og 1/100 sek. uten skilletegn." sqref="C4:C5 C7 C17:C18" xr:uid="{2647FDEE-0B80-4C37-AD7C-1D8BAD02F84B}">
      <formula1>0</formula1>
      <formula2>5999</formula2>
    </dataValidation>
    <dataValidation type="whole" allowBlank="1" showErrorMessage="1" errorTitle="Elektronisk tid skal angis" error="fortløpende - 6 sifre - i min. - sek. og 1/100 sek. uten skilletegn._x000a_" promptTitle="Elektronisk tid skal angis" prompt="fortløpende i sek. og 1/100 sek. uten skilletegn." sqref="C36:C37" xr:uid="{9CA5FDDC-6566-4E6A-B638-652BD3B9D6C6}">
      <formula1>0</formula1>
      <formula2>595999</formula2>
    </dataValidation>
    <dataValidation type="whole" allowBlank="1" showErrorMessage="1" errorTitle="Manuell tid skal angis" error="fortløpende - 3 sifre - i sek. og 1/10 sek. uten skilletegn." promptTitle="Elektronisk tid skal angis" prompt="fortløpende i sek. og 1/100 sek. uten skilletegn." sqref="C8" xr:uid="{2A9A7657-6D7B-4EB3-9323-CEAF8B97B54D}">
      <formula1>0</formula1>
      <formula2>599</formula2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4113" r:id="rId4">
          <objectPr defaultSize="0" autoPict="0" r:id="rId5">
            <anchor moveWithCells="1" sizeWithCells="1">
              <from>
                <xdr:col>107</xdr:col>
                <xdr:colOff>0</xdr:colOff>
                <xdr:row>4</xdr:row>
                <xdr:rowOff>6350</xdr:rowOff>
              </from>
              <to>
                <xdr:col>108</xdr:col>
                <xdr:colOff>228600</xdr:colOff>
                <xdr:row>9</xdr:row>
                <xdr:rowOff>0</xdr:rowOff>
              </to>
            </anchor>
          </objectPr>
        </oleObject>
      </mc:Choice>
      <mc:Fallback>
        <oleObject progId="PBrush" shapeId="411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menn</vt:lpstr>
      <vt:lpstr>kvinner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Ellef Ryen Aalerud</dc:creator>
  <cp:lastModifiedBy>Per Ellef Ryen Aalerud</cp:lastModifiedBy>
  <dcterms:created xsi:type="dcterms:W3CDTF">2017-05-03T11:28:10Z</dcterms:created>
  <dcterms:modified xsi:type="dcterms:W3CDTF">2022-03-31T17:35:24Z</dcterms:modified>
</cp:coreProperties>
</file>